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3970" windowHeight="9660"/>
  </bookViews>
  <sheets>
    <sheet name="TOC" sheetId="1" r:id="rId1"/>
    <sheet name="Margin" sheetId="7" r:id="rId2"/>
    <sheet name="Capital 1" sheetId="5" r:id="rId3"/>
    <sheet name="Capital 2" sheetId="8" r:id="rId4"/>
    <sheet name="Bonds" sheetId="9" r:id="rId5"/>
    <sheet name="TRIA 1" sheetId="10" r:id="rId6"/>
    <sheet name="TRIA 2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1" l="1"/>
  <c r="S9" i="11" s="1"/>
  <c r="V6" i="10"/>
  <c r="S9" i="10" s="1"/>
  <c r="W21" i="8" l="1"/>
  <c r="V12" i="8"/>
  <c r="T11" i="8"/>
  <c r="Z21" i="8"/>
  <c r="W21" i="5"/>
  <c r="V12" i="5"/>
  <c r="T11" i="5"/>
  <c r="Z21" i="5"/>
  <c r="S21" i="5"/>
  <c r="Q8" i="7"/>
  <c r="W8" i="7"/>
  <c r="R26" i="11" l="1"/>
  <c r="Y12" i="8"/>
  <c r="S21" i="8"/>
  <c r="S22" i="8" s="1"/>
  <c r="T7" i="9"/>
  <c r="S10" i="8"/>
  <c r="S13" i="8"/>
  <c r="S22" i="5"/>
  <c r="V11" i="8"/>
  <c r="S13" i="5"/>
  <c r="V11" i="5"/>
  <c r="S10" i="5"/>
  <c r="Y12" i="5"/>
  <c r="T8" i="7"/>
  <c r="Q10" i="7" s="1"/>
  <c r="AE3" i="5"/>
  <c r="AD21" i="7"/>
  <c r="AD20" i="7"/>
  <c r="AD19" i="7"/>
  <c r="AD18" i="7"/>
  <c r="AD17" i="7"/>
  <c r="AD16" i="7"/>
  <c r="AD15" i="7"/>
  <c r="AD14" i="7"/>
  <c r="AD11" i="7"/>
  <c r="AD10" i="7"/>
  <c r="AD5" i="7"/>
  <c r="S15" i="11" l="1"/>
  <c r="T20" i="11"/>
  <c r="R21" i="11"/>
  <c r="R26" i="10"/>
  <c r="T9" i="9"/>
  <c r="T8" i="9"/>
  <c r="S15" i="5"/>
  <c r="V38" i="5" s="1"/>
  <c r="S15" i="8"/>
  <c r="AF3" i="5"/>
  <c r="R14" i="11" l="1"/>
  <c r="T15" i="11"/>
  <c r="V15" i="11"/>
  <c r="V14" i="11"/>
  <c r="T14" i="11"/>
  <c r="U15" i="11"/>
  <c r="R15" i="11"/>
  <c r="U14" i="11"/>
  <c r="R16" i="11"/>
  <c r="U26" i="11" s="1"/>
  <c r="R27" i="11" s="1"/>
  <c r="S14" i="11"/>
  <c r="P18" i="11"/>
  <c r="T10" i="9"/>
  <c r="R21" i="10"/>
  <c r="R16" i="10" s="1"/>
  <c r="U26" i="10" s="1"/>
  <c r="R27" i="10" s="1"/>
  <c r="T20" i="10"/>
  <c r="P18" i="10"/>
  <c r="V15" i="10"/>
  <c r="R15" i="10"/>
  <c r="T14" i="10"/>
  <c r="U15" i="10"/>
  <c r="S14" i="10"/>
  <c r="T15" i="10"/>
  <c r="V14" i="10"/>
  <c r="R14" i="10"/>
  <c r="S15" i="10"/>
  <c r="U14" i="10"/>
  <c r="S34" i="5"/>
  <c r="R38" i="5"/>
  <c r="V38" i="8"/>
  <c r="R38" i="8"/>
  <c r="S34" i="8"/>
  <c r="AF5" i="7"/>
  <c r="AG5" i="7" s="1"/>
  <c r="AF11" i="7"/>
  <c r="AG11" i="7" s="1"/>
  <c r="AF10" i="7"/>
  <c r="AG10" i="7" s="1"/>
</calcChain>
</file>

<file path=xl/sharedStrings.xml><?xml version="1.0" encoding="utf-8"?>
<sst xmlns="http://schemas.openxmlformats.org/spreadsheetml/2006/main" count="1178" uniqueCount="176">
  <si>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</si>
  <si>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</si>
  <si>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</si>
  <si>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</si>
  <si>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</si>
  <si>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</si>
  <si>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</si>
  <si>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</si>
  <si>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</si>
  <si>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CY</t>
  </si>
  <si>
    <t>CY-1</t>
  </si>
  <si>
    <t>Find</t>
  </si>
  <si>
    <t>=</t>
  </si>
  <si>
    <t>Problem Creation</t>
  </si>
  <si>
    <t>check</t>
  </si>
  <si>
    <t>LR:</t>
  </si>
  <si>
    <t>LAE:</t>
  </si>
  <si>
    <t>-</t>
  </si>
  <si>
    <t>other:</t>
  </si>
  <si>
    <t xml:space="preserve">+  </t>
  </si>
  <si>
    <t xml:space="preserve">-  </t>
  </si>
  <si>
    <t>System:</t>
  </si>
  <si>
    <t>original problem</t>
  </si>
  <si>
    <t>base factors</t>
  </si>
  <si>
    <t>value</t>
  </si>
  <si>
    <t>Premium margin equired to offset double-taxation</t>
  </si>
  <si>
    <t>Margin</t>
  </si>
  <si>
    <t>Capital 1</t>
  </si>
  <si>
    <t>Capital 2</t>
  </si>
  <si>
    <t>Bonds</t>
  </si>
  <si>
    <t>Invested Capital (Liquidate or Continue Operations)</t>
  </si>
  <si>
    <t>Carry Value of Bonds under SAP</t>
  </si>
  <si>
    <t>TRIA 1</t>
  </si>
  <si>
    <t>TRIA 2</t>
  </si>
  <si>
    <t>TRIA Loss-Sharing</t>
  </si>
  <si>
    <t>Feldblum.Surplus</t>
  </si>
  <si>
    <t>example in source reading</t>
  </si>
  <si>
    <t>This is a very easy plug-and-chug problem.</t>
  </si>
  <si>
    <t>(If you know the formula, plug in the numbers and chug the answer with your calculator or Excel.)</t>
  </si>
  <si>
    <r>
      <t xml:space="preserve">An investor can </t>
    </r>
    <r>
      <rPr>
        <b/>
        <sz val="11"/>
        <color theme="1"/>
        <rFont val="Calibri"/>
        <family val="2"/>
        <scheme val="minor"/>
      </rPr>
      <t>directly</t>
    </r>
    <r>
      <rPr>
        <sz val="11"/>
        <color theme="1"/>
        <rFont val="Calibri"/>
        <family val="2"/>
        <scheme val="minor"/>
      </rPr>
      <t xml:space="preserve"> purchase an investment with a yield of </t>
    </r>
    <r>
      <rPr>
        <i/>
        <sz val="11"/>
        <color theme="1"/>
        <rFont val="Calibri"/>
        <family val="2"/>
        <scheme val="minor"/>
      </rPr>
      <t xml:space="preserve">y. </t>
    </r>
    <r>
      <rPr>
        <sz val="11"/>
        <color theme="1"/>
        <rFont val="Calibri"/>
        <family val="2"/>
        <scheme val="minor"/>
      </rPr>
      <t>The investor can</t>
    </r>
  </si>
  <si>
    <t>alternately place his money in an insurance company and the insurance company</t>
  </si>
  <si>
    <t>margin</t>
  </si>
  <si>
    <t>(capital / premium)</t>
  </si>
  <si>
    <t>x</t>
  </si>
  <si>
    <r>
      <t>yT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/ (1 - T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</si>
  <si>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(1 + y)</t>
    </r>
    <r>
      <rPr>
        <vertAlign val="superscript"/>
        <sz val="11"/>
        <color theme="1"/>
        <rFont val="Calibri"/>
        <family val="2"/>
        <scheme val="minor"/>
      </rPr>
      <t>-1/2</t>
    </r>
  </si>
  <si>
    <r>
      <t xml:space="preserve">will purchase an investment also with a yield of </t>
    </r>
    <r>
      <rPr>
        <i/>
        <sz val="11"/>
        <color theme="1"/>
        <rFont val="Calibri"/>
        <family val="2"/>
        <scheme val="minor"/>
      </rPr>
      <t>y.</t>
    </r>
    <r>
      <rPr>
        <sz val="11"/>
        <color theme="1"/>
        <rFont val="Calibri"/>
        <family val="2"/>
        <scheme val="minor"/>
      </rPr>
      <t xml:space="preserve"> This would be an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investment.</t>
    </r>
  </si>
  <si>
    <r>
      <t xml:space="preserve">This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 would be subject to double-taxation as explained in Feldblum's</t>
    </r>
  </si>
  <si>
    <t>surplus paper.</t>
  </si>
  <si>
    <r>
      <t xml:space="preserve"> &lt;== </t>
    </r>
    <r>
      <rPr>
        <i/>
        <sz val="11"/>
        <color rgb="FFFF0000"/>
        <rFont val="Calibri"/>
        <family val="2"/>
        <scheme val="minor"/>
      </rPr>
      <t>final answer</t>
    </r>
  </si>
  <si>
    <r>
      <rPr>
        <b/>
        <sz val="11"/>
        <color theme="1"/>
        <rFont val="Calibri"/>
        <family val="2"/>
        <scheme val="minor"/>
      </rPr>
      <t>Assume</t>
    </r>
    <r>
      <rPr>
        <sz val="11"/>
        <color theme="1"/>
        <rFont val="Calibri"/>
        <family val="2"/>
        <scheme val="minor"/>
      </rPr>
      <t xml:space="preserve"> there are no restrictions on the risk level of the insurer's investments.</t>
    </r>
  </si>
  <si>
    <t>NOTE:</t>
  </si>
  <si>
    <r>
      <t xml:space="preserve">The investor's personal income tax is irrelevant because it's the same for both the </t>
    </r>
    <r>
      <rPr>
        <b/>
        <i/>
        <sz val="11"/>
        <color theme="1"/>
        <rFont val="Calibri"/>
        <family val="2"/>
        <scheme val="minor"/>
      </rPr>
      <t>direct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indirect</t>
    </r>
    <r>
      <rPr>
        <i/>
        <sz val="11"/>
        <color theme="1"/>
        <rFont val="Calibri"/>
        <family val="2"/>
        <scheme val="minor"/>
      </rPr>
      <t xml:space="preserve"> options</t>
    </r>
  </si>
  <si>
    <t>investment yield</t>
  </si>
  <si>
    <t>y</t>
  </si>
  <si>
    <t>tax - personal</t>
  </si>
  <si>
    <r>
      <t>T</t>
    </r>
    <r>
      <rPr>
        <vertAlign val="subscript"/>
        <sz val="11"/>
        <color theme="1"/>
        <rFont val="Calibri"/>
        <family val="2"/>
        <scheme val="minor"/>
      </rPr>
      <t>P</t>
    </r>
  </si>
  <si>
    <t>tax - corporate</t>
  </si>
  <si>
    <r>
      <t>T</t>
    </r>
    <r>
      <rPr>
        <vertAlign val="subscript"/>
        <sz val="11"/>
        <color theme="1"/>
        <rFont val="Calibri"/>
        <family val="2"/>
        <scheme val="minor"/>
      </rPr>
      <t>C</t>
    </r>
  </si>
  <si>
    <t>The investor wishes to invest an amount of capital equal to:</t>
  </si>
  <si>
    <t xml:space="preserve">  times the total policyholder premium</t>
  </si>
  <si>
    <r>
      <rPr>
        <b/>
        <sz val="11"/>
        <color theme="1"/>
        <rFont val="Calibri"/>
        <family val="2"/>
        <scheme val="minor"/>
      </rPr>
      <t>Assume</t>
    </r>
    <r>
      <rPr>
        <sz val="11"/>
        <color theme="1"/>
        <rFont val="Calibri"/>
        <family val="2"/>
        <scheme val="minor"/>
      </rPr>
      <t xml:space="preserve"> the premiums are paid at the </t>
    </r>
    <r>
      <rPr>
        <u/>
        <sz val="11"/>
        <color theme="1"/>
        <rFont val="Calibri"/>
        <family val="2"/>
        <scheme val="minor"/>
      </rPr>
      <t>beginning</t>
    </r>
    <r>
      <rPr>
        <sz val="11"/>
        <color theme="1"/>
        <rFont val="Calibri"/>
        <family val="2"/>
        <scheme val="minor"/>
      </rPr>
      <t xml:space="preserve"> of the year and tax is not due until</t>
    </r>
  </si>
  <si>
    <r>
      <t xml:space="preserve">the </t>
    </r>
    <r>
      <rPr>
        <u/>
        <sz val="11"/>
        <color theme="1"/>
        <rFont val="Calibri"/>
        <family val="2"/>
        <scheme val="minor"/>
      </rPr>
      <t>middle</t>
    </r>
    <r>
      <rPr>
        <sz val="11"/>
        <color theme="1"/>
        <rFont val="Calibri"/>
        <family val="2"/>
        <scheme val="minor"/>
      </rPr>
      <t xml:space="preserve"> of the year.</t>
    </r>
  </si>
  <si>
    <r>
      <t xml:space="preserve">Given the information above, what </t>
    </r>
    <r>
      <rPr>
        <b/>
        <sz val="11"/>
        <color theme="1"/>
        <rFont val="Calibri"/>
        <family val="2"/>
        <scheme val="minor"/>
      </rPr>
      <t>% margin</t>
    </r>
    <r>
      <rPr>
        <sz val="11"/>
        <color theme="1"/>
        <rFont val="Calibri"/>
        <family val="2"/>
        <scheme val="minor"/>
      </rPr>
      <t xml:space="preserve"> must be added to the total policyholder</t>
    </r>
  </si>
  <si>
    <r>
      <t xml:space="preserve">premium to compensate the investor for the double-taxation of the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</t>
    </r>
  </si>
  <si>
    <t>option.</t>
  </si>
  <si>
    <t>2018.Spring #12</t>
  </si>
  <si>
    <t>Invested Capital &amp; PV(Future Income)</t>
  </si>
  <si>
    <t>(a)</t>
  </si>
  <si>
    <t>invested capital</t>
  </si>
  <si>
    <t>S  +  ( % acq  x  UEP)  +  (1  -  % disc)  x  R  -  DTA</t>
  </si>
  <si>
    <t>From a company's CY annual statement:</t>
  </si>
  <si>
    <t>S</t>
  </si>
  <si>
    <t>(</t>
  </si>
  <si>
    <t>% acq</t>
  </si>
  <si>
    <t>UEP</t>
  </si>
  <si>
    <t>)</t>
  </si>
  <si>
    <t>statutory surplus</t>
  </si>
  <si>
    <t>% disc</t>
  </si>
  <si>
    <t>R</t>
  </si>
  <si>
    <t>deferred tax assets</t>
  </si>
  <si>
    <t>DTA</t>
  </si>
  <si>
    <t>unearned premium reserve</t>
  </si>
  <si>
    <t>undiscounted loss reserve</t>
  </si>
  <si>
    <t>Other junk you need to solve the problem:</t>
  </si>
  <si>
    <t>written premium (annual)</t>
  </si>
  <si>
    <t>WP</t>
  </si>
  <si>
    <t>pre-tax income (annual)</t>
  </si>
  <si>
    <t>Inc:pre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</si>
  <si>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(a)</t>
    </r>
  </si>
  <si>
    <t>cost of liquidation</t>
  </si>
  <si>
    <t>CoL</t>
  </si>
  <si>
    <t>cost of capital</t>
  </si>
  <si>
    <t>% CoC</t>
  </si>
  <si>
    <t>tax rate</t>
  </si>
  <si>
    <t>% tax</t>
  </si>
  <si>
    <t>(b)</t>
  </si>
  <si>
    <t>PV(future income)</t>
  </si>
  <si>
    <t>(pre-tax income)  x  (1  -  % tax)  /  (% CoC)</t>
  </si>
  <si>
    <t>pre-paid acquisition cost</t>
  </si>
  <si>
    <t>discount factor for loss reserves</t>
  </si>
  <si>
    <t>Pv(future income)</t>
  </si>
  <si>
    <t>PTI</t>
  </si>
  <si>
    <t>(      1</t>
  </si>
  <si>
    <t>/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</si>
  <si>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(b)</t>
    </r>
  </si>
  <si>
    <t>invested capital for given CY</t>
  </si>
  <si>
    <t>present value or PV(future income)</t>
  </si>
  <si>
    <t>(c)</t>
  </si>
  <si>
    <r>
      <t xml:space="preserve">would the shareholders prefer </t>
    </r>
    <r>
      <rPr>
        <u/>
        <sz val="11"/>
        <color theme="1"/>
        <rFont val="Calibri"/>
        <family val="2"/>
        <scheme val="minor"/>
      </rPr>
      <t>liquidation</t>
    </r>
    <r>
      <rPr>
        <sz val="11"/>
        <color theme="1"/>
        <rFont val="Calibri"/>
        <family val="2"/>
        <scheme val="minor"/>
      </rPr>
      <t xml:space="preserve"> or </t>
    </r>
    <r>
      <rPr>
        <u/>
        <sz val="11"/>
        <color theme="1"/>
        <rFont val="Calibri"/>
        <family val="2"/>
        <scheme val="minor"/>
      </rPr>
      <t>continued operation</t>
    </r>
    <r>
      <rPr>
        <sz val="11"/>
        <color theme="1"/>
        <rFont val="Calibri"/>
        <family val="2"/>
        <scheme val="minor"/>
      </rPr>
      <t xml:space="preserve"> of the company</t>
    </r>
  </si>
  <si>
    <t>Decision Table:</t>
  </si>
  <si>
    <t>(InvCap = invested capital, CoL = Cost of Liquidation)</t>
  </si>
  <si>
    <t>InvCap - CoL</t>
  </si>
  <si>
    <t>&gt;</t>
  </si>
  <si>
    <t>==&gt;</t>
  </si>
  <si>
    <t>liquidate</t>
  </si>
  <si>
    <t>&lt;</t>
  </si>
  <si>
    <t>continue operations</t>
  </si>
  <si>
    <r>
      <t xml:space="preserve">doesn't matter  </t>
    </r>
    <r>
      <rPr>
        <i/>
        <sz val="11"/>
        <color theme="1"/>
        <rFont val="Calibri"/>
        <family val="2"/>
        <scheme val="minor"/>
      </rPr>
      <t>(maybe look at income trends?)</t>
    </r>
  </si>
  <si>
    <t>For this problem we have:</t>
  </si>
  <si>
    <t>This leads to the final answer below:</t>
  </si>
  <si>
    <t>invested cap. - CoL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</si>
  <si>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(c)</t>
    </r>
  </si>
  <si>
    <t>Odomirok - Chapter 6/7</t>
  </si>
  <si>
    <t>2017.Fall #13</t>
  </si>
  <si>
    <t>Carrying Value of Bonds under SAP</t>
  </si>
  <si>
    <t>Assume an insurer owns the following BOND portfolio:</t>
  </si>
  <si>
    <t>carrying</t>
  </si>
  <si>
    <t>NAIC Rating</t>
  </si>
  <si>
    <t>method</t>
  </si>
  <si>
    <t>Amortized</t>
  </si>
  <si>
    <t>Fair</t>
  </si>
  <si>
    <t>Actual</t>
  </si>
  <si>
    <t>use amortized cost</t>
  </si>
  <si>
    <t>Cost</t>
  </si>
  <si>
    <t>Value</t>
  </si>
  <si>
    <t>use min(amortized cost, fair value)</t>
  </si>
  <si>
    <t xml:space="preserve"> &lt;==== final answer</t>
  </si>
  <si>
    <t>Total adjusted carrying value of BONDS under SAP</t>
  </si>
  <si>
    <t>Webel.TRIA-2019</t>
  </si>
  <si>
    <t>n/a</t>
  </si>
  <si>
    <t>Step 1</t>
  </si>
  <si>
    <t xml:space="preserve"> assess whether TRIA loss-sharing criteria have been met</t>
  </si>
  <si>
    <t>Calculate how much of the insurer's loss under TRIA is paid by the:</t>
  </si>
  <si>
    <t>has the event been certified</t>
  </si>
  <si>
    <t>===&gt;</t>
  </si>
  <si>
    <t>yes</t>
  </si>
  <si>
    <t>federal government</t>
  </si>
  <si>
    <t>are industry losses</t>
  </si>
  <si>
    <t>million</t>
  </si>
  <si>
    <t>insurer that covered the loss</t>
  </si>
  <si>
    <r>
      <t xml:space="preserve">Assume the terrorism event has been certified. </t>
    </r>
    <r>
      <rPr>
        <sz val="11"/>
        <color rgb="FFFF0000"/>
        <rFont val="Calibri"/>
        <family val="2"/>
        <scheme val="minor"/>
      </rPr>
      <t>(Amounts in in $millions)</t>
    </r>
  </si>
  <si>
    <t xml:space="preserve">TRIA loss-sharing criteria </t>
  </si>
  <si>
    <t xml:space="preserve"> been met</t>
  </si>
  <si>
    <t>industry losses</t>
  </si>
  <si>
    <t>insurer losses</t>
  </si>
  <si>
    <t>Step 2</t>
  </si>
  <si>
    <t xml:space="preserve"> calculate federal government share of losses</t>
  </si>
  <si>
    <t>insurer information</t>
  </si>
  <si>
    <t>DEP</t>
  </si>
  <si>
    <t>&lt;====</t>
  </si>
  <si>
    <t>Direct Earned Premium</t>
  </si>
  <si>
    <t>federal</t>
  </si>
  <si>
    <t>auto</t>
  </si>
  <si>
    <t>commercial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</si>
  <si>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</t>
    </r>
    <r>
      <rPr>
        <i/>
        <sz val="11"/>
        <color rgb="FFFF0000"/>
        <rFont val="Calibri"/>
        <family val="2"/>
        <scheme val="minor"/>
      </rPr>
      <t>==== final answer to (a)</t>
    </r>
  </si>
  <si>
    <t>WC</t>
  </si>
  <si>
    <t>deduc</t>
  </si>
  <si>
    <r>
      <t xml:space="preserve">( insurer </t>
    </r>
    <r>
      <rPr>
        <u/>
        <sz val="11"/>
        <color theme="1"/>
        <rFont val="Calibri"/>
        <family val="2"/>
        <scheme val="minor"/>
      </rPr>
      <t>commercial</t>
    </r>
    <r>
      <rPr>
        <sz val="11"/>
        <color theme="1"/>
        <rFont val="Calibri"/>
        <family val="2"/>
        <scheme val="minor"/>
      </rPr>
      <t xml:space="preserve"> DEP)</t>
    </r>
  </si>
  <si>
    <t>Step 3</t>
  </si>
  <si>
    <t xml:space="preserve"> calculate insurer's share of losses</t>
  </si>
  <si>
    <t>insurer</t>
  </si>
  <si>
    <t>insurer gross loss</t>
  </si>
  <si>
    <t>federal share of losses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</si>
  <si>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</t>
    </r>
    <r>
      <rPr>
        <i/>
        <sz val="11"/>
        <color rgb="FFFF0000"/>
        <rFont val="Calibri"/>
        <family val="2"/>
        <scheme val="minor"/>
      </rPr>
      <t>==== final answer to (b)</t>
    </r>
  </si>
  <si>
    <t>Exam 6U: Surplus/Bonds/TRIA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</si>
</sst>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000"/>
    <numFmt numFmtId="167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</cellStyleXfs>
  <cellXfs count="149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0" xfId="0" quotePrefix="1" applyAlignment="1">
      <alignment horizontal="left"/>
    </xf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0" fontId="0" fillId="0" borderId="0" xfId="0" quotePrefix="1" applyFont="1" applyAlignment="1">
      <alignment horizontal="center"/>
    </xf>
    <xf numFmtId="0" fontId="11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3" fontId="0" fillId="3" borderId="0" xfId="0" applyNumberFormat="1" applyFill="1" applyBorder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1" xfId="0" applyNumberFormat="1" applyBorder="1"/>
    <xf numFmtId="3" fontId="0" fillId="3" borderId="6" xfId="0" applyNumberFormat="1" applyFill="1" applyBorder="1"/>
    <xf numFmtId="3" fontId="0" fillId="0" borderId="3" xfId="0" applyNumberFormat="1" applyBorder="1"/>
    <xf numFmtId="0" fontId="10" fillId="0" borderId="0" xfId="0" applyFont="1"/>
    <xf numFmtId="0" fontId="0" fillId="0" borderId="1" xfId="0" applyFont="1" applyBorder="1" applyAlignment="1">
      <alignment horizontal="center"/>
    </xf>
    <xf numFmtId="3" fontId="0" fillId="3" borderId="4" xfId="0" applyNumberFormat="1" applyFont="1" applyFill="1" applyBorder="1"/>
    <xf numFmtId="0" fontId="12" fillId="4" borderId="9" xfId="3" applyFont="1" applyBorder="1" applyAlignment="1">
      <alignment horizontal="center"/>
    </xf>
    <xf numFmtId="164" fontId="6" fillId="4" borderId="11" xfId="3" applyNumberFormat="1" applyBorder="1" applyAlignment="1">
      <alignment horizontal="center"/>
    </xf>
    <xf numFmtId="164" fontId="0" fillId="0" borderId="0" xfId="2" applyNumberFormat="1" applyFont="1"/>
    <xf numFmtId="0" fontId="9" fillId="0" borderId="0" xfId="0" applyFont="1" applyAlignment="1">
      <alignment horizontal="center"/>
    </xf>
    <xf numFmtId="3" fontId="0" fillId="3" borderId="7" xfId="0" applyNumberFormat="1" applyFont="1" applyFill="1" applyBorder="1"/>
    <xf numFmtId="3" fontId="0" fillId="3" borderId="6" xfId="0" applyNumberFormat="1" applyFont="1" applyFill="1" applyBorder="1"/>
    <xf numFmtId="0" fontId="12" fillId="4" borderId="2" xfId="3" applyFont="1" applyBorder="1" applyAlignment="1">
      <alignment horizontal="center"/>
    </xf>
    <xf numFmtId="164" fontId="6" fillId="4" borderId="4" xfId="2" applyNumberFormat="1" applyFont="1" applyFill="1" applyBorder="1"/>
    <xf numFmtId="0" fontId="12" fillId="4" borderId="5" xfId="3" applyFont="1" applyBorder="1" applyAlignment="1">
      <alignment horizontal="center"/>
    </xf>
    <xf numFmtId="164" fontId="6" fillId="4" borderId="6" xfId="2" applyNumberFormat="1" applyFont="1" applyFill="1" applyBorder="1"/>
    <xf numFmtId="3" fontId="0" fillId="0" borderId="7" xfId="0" applyNumberFormat="1" applyFont="1" applyBorder="1"/>
    <xf numFmtId="3" fontId="0" fillId="0" borderId="6" xfId="0" applyNumberFormat="1" applyFont="1" applyBorder="1"/>
    <xf numFmtId="10" fontId="6" fillId="4" borderId="15" xfId="3" applyNumberFormat="1" applyBorder="1"/>
    <xf numFmtId="10" fontId="6" fillId="4" borderId="13" xfId="3" applyNumberFormat="1" applyBorder="1"/>
    <xf numFmtId="10" fontId="6" fillId="4" borderId="14" xfId="3" applyNumberFormat="1" applyBorder="1"/>
    <xf numFmtId="0" fontId="0" fillId="0" borderId="0" xfId="0" quotePrefix="1" applyFont="1" applyAlignment="1">
      <alignment horizontal="right"/>
    </xf>
    <xf numFmtId="3" fontId="6" fillId="4" borderId="9" xfId="3" applyNumberForma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65" fontId="0" fillId="0" borderId="1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0" fillId="3" borderId="0" xfId="0" applyNumberFormat="1" applyFill="1"/>
    <xf numFmtId="3" fontId="0" fillId="0" borderId="13" xfId="0" applyNumberFormat="1" applyBorder="1"/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/>
    <xf numFmtId="3" fontId="0" fillId="0" borderId="14" xfId="0" applyNumberFormat="1" applyBorder="1"/>
    <xf numFmtId="3" fontId="9" fillId="0" borderId="0" xfId="0" applyNumberFormat="1" applyFont="1"/>
    <xf numFmtId="3" fontId="0" fillId="0" borderId="15" xfId="0" applyNumberFormat="1" applyBorder="1"/>
    <xf numFmtId="3" fontId="0" fillId="0" borderId="0" xfId="0" applyNumberFormat="1" applyFont="1" applyAlignment="1">
      <alignment horizontal="centerContinuous"/>
    </xf>
    <xf numFmtId="10" fontId="0" fillId="0" borderId="0" xfId="2" applyNumberFormat="1" applyFont="1" applyAlignment="1">
      <alignment horizontal="centerContinuous"/>
    </xf>
    <xf numFmtId="166" fontId="0" fillId="0" borderId="0" xfId="0" applyNumberFormat="1" applyFont="1" applyAlignment="1">
      <alignment horizontal="center"/>
    </xf>
    <xf numFmtId="10" fontId="6" fillId="4" borderId="12" xfId="3" applyNumberFormat="1" applyBorder="1"/>
    <xf numFmtId="3" fontId="1" fillId="0" borderId="0" xfId="0" applyNumberFormat="1" applyFont="1" applyAlignment="1">
      <alignment horizontal="center"/>
    </xf>
    <xf numFmtId="3" fontId="10" fillId="0" borderId="0" xfId="0" applyNumberFormat="1" applyFont="1"/>
    <xf numFmtId="3" fontId="0" fillId="0" borderId="2" xfId="0" applyNumberFormat="1" applyFont="1" applyBorder="1"/>
    <xf numFmtId="3" fontId="0" fillId="0" borderId="4" xfId="0" applyNumberFormat="1" applyFont="1" applyBorder="1"/>
    <xf numFmtId="3" fontId="0" fillId="0" borderId="4" xfId="0" applyNumberFormat="1" applyFont="1" applyBorder="1" applyAlignment="1">
      <alignment horizontal="center"/>
    </xf>
    <xf numFmtId="9" fontId="0" fillId="3" borderId="4" xfId="2" applyFont="1" applyFill="1" applyBorder="1"/>
    <xf numFmtId="3" fontId="0" fillId="0" borderId="8" xfId="0" applyNumberFormat="1" applyFont="1" applyBorder="1"/>
    <xf numFmtId="3" fontId="0" fillId="0" borderId="7" xfId="0" applyNumberFormat="1" applyFont="1" applyBorder="1" applyAlignment="1">
      <alignment horizontal="center"/>
    </xf>
    <xf numFmtId="9" fontId="0" fillId="3" borderId="7" xfId="2" applyFont="1" applyFill="1" applyBorder="1"/>
    <xf numFmtId="3" fontId="0" fillId="0" borderId="5" xfId="0" applyNumberFormat="1" applyFont="1" applyBorder="1"/>
    <xf numFmtId="3" fontId="0" fillId="0" borderId="6" xfId="0" applyNumberFormat="1" applyFont="1" applyBorder="1" applyAlignment="1">
      <alignment horizontal="center"/>
    </xf>
    <xf numFmtId="9" fontId="0" fillId="3" borderId="6" xfId="2" applyFont="1" applyFill="1" applyBorder="1"/>
    <xf numFmtId="167" fontId="0" fillId="3" borderId="0" xfId="0" applyNumberFormat="1" applyFont="1" applyFill="1" applyAlignment="1">
      <alignment horizontal="center"/>
    </xf>
    <xf numFmtId="3" fontId="0" fillId="0" borderId="0" xfId="0" applyNumberFormat="1" applyFont="1" applyBorder="1"/>
    <xf numFmtId="0" fontId="7" fillId="5" borderId="9" xfId="4" applyBorder="1"/>
    <xf numFmtId="0" fontId="7" fillId="5" borderId="10" xfId="4" applyBorder="1"/>
    <xf numFmtId="0" fontId="7" fillId="5" borderId="10" xfId="4" applyBorder="1" applyAlignment="1">
      <alignment horizontal="center"/>
    </xf>
    <xf numFmtId="0" fontId="7" fillId="5" borderId="11" xfId="4" applyBorder="1"/>
    <xf numFmtId="3" fontId="0" fillId="0" borderId="3" xfId="0" applyNumberFormat="1" applyFont="1" applyBorder="1"/>
    <xf numFmtId="3" fontId="0" fillId="0" borderId="15" xfId="0" applyNumberFormat="1" applyFont="1" applyBorder="1"/>
    <xf numFmtId="3" fontId="0" fillId="0" borderId="13" xfId="0" applyNumberFormat="1" applyFont="1" applyBorder="1"/>
    <xf numFmtId="3" fontId="0" fillId="0" borderId="1" xfId="0" applyNumberFormat="1" applyFont="1" applyBorder="1"/>
    <xf numFmtId="3" fontId="0" fillId="0" borderId="14" xfId="0" applyNumberFormat="1" applyFont="1" applyBorder="1"/>
    <xf numFmtId="9" fontId="0" fillId="0" borderId="0" xfId="2" applyFont="1" applyAlignment="1">
      <alignment horizontal="center"/>
    </xf>
    <xf numFmtId="0" fontId="1" fillId="0" borderId="0" xfId="0" applyFont="1" applyAlignment="1">
      <alignment horizontal="centerContinuous"/>
    </xf>
    <xf numFmtId="4" fontId="7" fillId="5" borderId="12" xfId="4" applyNumberFormat="1" applyBorder="1" applyAlignment="1">
      <alignment horizontal="center"/>
    </xf>
    <xf numFmtId="3" fontId="6" fillId="4" borderId="9" xfId="3" applyNumberFormat="1" applyBorder="1"/>
    <xf numFmtId="3" fontId="6" fillId="4" borderId="10" xfId="3" applyNumberFormat="1" applyBorder="1"/>
    <xf numFmtId="3" fontId="6" fillId="4" borderId="11" xfId="3" applyNumberFormat="1" applyBorder="1"/>
    <xf numFmtId="3" fontId="0" fillId="0" borderId="0" xfId="0" quotePrefix="1" applyNumberFormat="1" applyFont="1" applyAlignment="1">
      <alignment horizontal="center"/>
    </xf>
    <xf numFmtId="3" fontId="1" fillId="0" borderId="0" xfId="0" applyNumberFormat="1" applyFont="1" applyAlignment="1">
      <alignment horizontal="centerContinuous"/>
    </xf>
    <xf numFmtId="167" fontId="6" fillId="4" borderId="12" xfId="3" applyNumberFormat="1" applyBorder="1" applyAlignment="1">
      <alignment horizontal="center"/>
    </xf>
    <xf numFmtId="3" fontId="0" fillId="0" borderId="2" xfId="0" applyNumberFormat="1" applyFont="1" applyBorder="1" applyAlignment="1">
      <alignment horizontal="centerContinuous"/>
    </xf>
    <xf numFmtId="3" fontId="0" fillId="0" borderId="3" xfId="0" applyNumberFormat="1" applyFont="1" applyBorder="1" applyAlignment="1">
      <alignment horizontal="centerContinuous"/>
    </xf>
    <xf numFmtId="3" fontId="0" fillId="0" borderId="3" xfId="0" applyNumberFormat="1" applyFont="1" applyBorder="1" applyAlignment="1">
      <alignment horizontal="center"/>
    </xf>
    <xf numFmtId="3" fontId="9" fillId="0" borderId="3" xfId="0" quotePrefix="1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Continuous"/>
    </xf>
    <xf numFmtId="3" fontId="0" fillId="0" borderId="0" xfId="0" applyNumberFormat="1" applyFont="1" applyBorder="1" applyAlignment="1">
      <alignment horizontal="centerContinuous"/>
    </xf>
    <xf numFmtId="3" fontId="0" fillId="0" borderId="0" xfId="0" applyNumberFormat="1" applyFont="1" applyBorder="1" applyAlignment="1">
      <alignment horizontal="center"/>
    </xf>
    <xf numFmtId="3" fontId="9" fillId="0" borderId="0" xfId="0" quotePrefix="1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Continuous"/>
    </xf>
    <xf numFmtId="3" fontId="0" fillId="0" borderId="1" xfId="0" applyNumberFormat="1" applyFont="1" applyBorder="1" applyAlignment="1">
      <alignment horizontal="centerContinuous"/>
    </xf>
    <xf numFmtId="3" fontId="0" fillId="0" borderId="1" xfId="0" applyNumberFormat="1" applyFont="1" applyBorder="1" applyAlignment="1">
      <alignment horizontal="center"/>
    </xf>
    <xf numFmtId="3" fontId="9" fillId="0" borderId="1" xfId="0" quotePrefix="1" applyNumberFormat="1" applyFont="1" applyBorder="1" applyAlignment="1">
      <alignment horizontal="center"/>
    </xf>
    <xf numFmtId="0" fontId="9" fillId="0" borderId="0" xfId="0" applyFont="1" applyAlignment="1">
      <alignment horizontal="centerContinuous"/>
    </xf>
    <xf numFmtId="4" fontId="9" fillId="0" borderId="0" xfId="0" applyNumberFormat="1" applyFont="1" applyAlignment="1">
      <alignment horizontal="center"/>
    </xf>
    <xf numFmtId="3" fontId="8" fillId="6" borderId="9" xfId="5" applyNumberFormat="1" applyBorder="1" applyAlignment="1">
      <alignment horizontal="centerContinuous"/>
    </xf>
    <xf numFmtId="3" fontId="8" fillId="6" borderId="10" xfId="5" applyNumberFormat="1" applyBorder="1" applyAlignment="1">
      <alignment horizontal="centerContinuous"/>
    </xf>
    <xf numFmtId="3" fontId="8" fillId="6" borderId="10" xfId="5" applyNumberFormat="1" applyBorder="1" applyAlignment="1">
      <alignment horizontal="center"/>
    </xf>
    <xf numFmtId="3" fontId="9" fillId="6" borderId="10" xfId="5" quotePrefix="1" applyNumberFormat="1" applyFont="1" applyBorder="1" applyAlignment="1">
      <alignment horizontal="center"/>
    </xf>
    <xf numFmtId="3" fontId="5" fillId="6" borderId="10" xfId="5" applyNumberFormat="1" applyFont="1" applyBorder="1"/>
    <xf numFmtId="3" fontId="8" fillId="6" borderId="11" xfId="5" applyNumberFormat="1" applyBorder="1"/>
    <xf numFmtId="3" fontId="0" fillId="0" borderId="2" xfId="0" applyNumberFormat="1" applyBorder="1"/>
    <xf numFmtId="3" fontId="0" fillId="0" borderId="15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5" xfId="0" applyNumberFormat="1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8" xfId="0" applyNumberFormat="1" applyBorder="1"/>
    <xf numFmtId="3" fontId="0" fillId="0" borderId="6" xfId="0" applyNumberFormat="1" applyBorder="1" applyAlignment="1">
      <alignment horizontal="center"/>
    </xf>
    <xf numFmtId="3" fontId="1" fillId="8" borderId="12" xfId="0" applyNumberFormat="1" applyFont="1" applyFill="1" applyBorder="1"/>
    <xf numFmtId="3" fontId="9" fillId="0" borderId="0" xfId="0" applyNumberFormat="1" applyFont="1" applyAlignment="1">
      <alignment horizontal="left"/>
    </xf>
    <xf numFmtId="0" fontId="8" fillId="6" borderId="0" xfId="5" applyAlignment="1">
      <alignment horizontal="center"/>
    </xf>
    <xf numFmtId="3" fontId="5" fillId="0" borderId="0" xfId="0" quotePrefix="1" applyNumberFormat="1" applyFont="1" applyAlignment="1">
      <alignment horizontal="center"/>
    </xf>
    <xf numFmtId="3" fontId="6" fillId="4" borderId="0" xfId="3" applyNumberFormat="1" applyAlignment="1">
      <alignment horizontal="center"/>
    </xf>
    <xf numFmtId="3" fontId="4" fillId="7" borderId="0" xfId="6" applyNumberFormat="1" applyAlignment="1">
      <alignment horizontal="center"/>
    </xf>
    <xf numFmtId="3" fontId="0" fillId="0" borderId="9" xfId="0" applyNumberFormat="1" applyFont="1" applyBorder="1"/>
    <xf numFmtId="3" fontId="0" fillId="0" borderId="11" xfId="0" applyNumberFormat="1" applyFont="1" applyBorder="1"/>
    <xf numFmtId="3" fontId="0" fillId="0" borderId="1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9" fontId="0" fillId="0" borderId="0" xfId="2" applyFont="1"/>
    <xf numFmtId="167" fontId="9" fillId="0" borderId="0" xfId="0" applyNumberFormat="1" applyFont="1" applyAlignment="1">
      <alignment horizontal="center"/>
    </xf>
    <xf numFmtId="9" fontId="0" fillId="0" borderId="0" xfId="2" applyFont="1" applyAlignment="1">
      <alignment horizontal="left"/>
    </xf>
    <xf numFmtId="3" fontId="11" fillId="0" borderId="0" xfId="0" applyNumberFormat="1" applyFont="1"/>
    <xf numFmtId="3" fontId="0" fillId="0" borderId="0" xfId="0" applyNumberFormat="1" applyFont="1" applyAlignment="1"/>
    <xf numFmtId="3" fontId="0" fillId="0" borderId="0" xfId="0" applyNumberFormat="1" applyFont="1" applyAlignment="1">
      <alignment horizontal="left"/>
    </xf>
    <xf numFmtId="3" fontId="4" fillId="7" borderId="0" xfId="6" applyNumberFormat="1" applyAlignment="1">
      <alignment horizontal="left"/>
    </xf>
    <xf numFmtId="3" fontId="6" fillId="4" borderId="0" xfId="3" applyNumberFormat="1" applyAlignment="1">
      <alignment horizontal="left"/>
    </xf>
    <xf numFmtId="167" fontId="0" fillId="0" borderId="0" xfId="0" applyNumberFormat="1" applyFont="1" applyAlignment="1">
      <alignment horizontal="centerContinuous"/>
    </xf>
    <xf numFmtId="0" fontId="2" fillId="2" borderId="0" xfId="0" applyFont="1" applyFill="1" applyAlignment="1">
      <alignment horizontal="center"/>
    </xf>
  </cellXfs>
  <cellStyles count="7">
    <cellStyle name="40% - Accent1" xfId="6" builtinId="31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148" t="s">
        <v>175</v>
      </c>
      <c r="B5" s="148"/>
      <c r="C5" s="148"/>
    </row>
    <row r="6" spans="1:3" ht="21" customHeight="1" x14ac:dyDescent="0.25">
      <c r="A6" s="148"/>
      <c r="B6" s="148"/>
      <c r="C6" s="148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26</v>
      </c>
      <c r="C10" s="2" t="s">
        <v>25</v>
      </c>
    </row>
    <row r="11" spans="1:3" x14ac:dyDescent="0.25">
      <c r="A11" s="10">
        <v>2</v>
      </c>
      <c r="B11" s="11" t="s">
        <v>27</v>
      </c>
      <c r="C11" s="2" t="s">
        <v>30</v>
      </c>
    </row>
    <row r="12" spans="1:3" x14ac:dyDescent="0.25">
      <c r="A12" s="10">
        <v>3</v>
      </c>
      <c r="B12" s="11" t="s">
        <v>28</v>
      </c>
      <c r="C12" s="2" t="s">
        <v>30</v>
      </c>
    </row>
    <row r="13" spans="1:3" x14ac:dyDescent="0.25">
      <c r="A13" s="10">
        <v>4</v>
      </c>
      <c r="B13" s="11" t="s">
        <v>29</v>
      </c>
      <c r="C13" s="2" t="s">
        <v>31</v>
      </c>
    </row>
    <row r="14" spans="1:3" x14ac:dyDescent="0.25">
      <c r="A14" s="10">
        <v>5</v>
      </c>
      <c r="B14" s="11" t="s">
        <v>32</v>
      </c>
      <c r="C14" s="2" t="s">
        <v>34</v>
      </c>
    </row>
    <row r="15" spans="1:3" x14ac:dyDescent="0.25">
      <c r="A15" s="10">
        <v>6</v>
      </c>
      <c r="B15" s="11" t="s">
        <v>33</v>
      </c>
      <c r="C15" s="2" t="s">
        <v>34</v>
      </c>
    </row>
    <row r="16" spans="1:3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Margin!A1" display="Margin!A1"/>
    <hyperlink ref="A11" location="'Capital 1'!A1" display="'Capital 1'!A1"/>
    <hyperlink ref="A12" location="'Capital 2'!A1" display="'Capital 2'!A1"/>
    <hyperlink ref="A13" location="Bonds!A1" display="Bonds!A1"/>
    <hyperlink ref="A14" location="'TRIA 1'!A1" display="'TRIA 1'!A1"/>
    <hyperlink ref="A15" location="'TRIA 2'!A1" display="'TRIA 2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B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56" ht="15" customHeight="1" x14ac:dyDescent="0.25">
      <c r="A1" s="5" t="s">
        <v>3</v>
      </c>
      <c r="C1" t="s">
        <v>35</v>
      </c>
      <c r="D1" s="20"/>
      <c r="M1" s="14" t="s">
        <v>7</v>
      </c>
      <c r="N1" s="21" t="s">
        <v>8</v>
      </c>
      <c r="AB1" s="8" t="s">
        <v>8</v>
      </c>
      <c r="AC1" s="5" t="s">
        <v>13</v>
      </c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5" customHeight="1" x14ac:dyDescent="0.25">
      <c r="A2" s="5" t="s">
        <v>4</v>
      </c>
      <c r="C2" s="6" t="s">
        <v>36</v>
      </c>
      <c r="N2" s="21" t="s">
        <v>8</v>
      </c>
      <c r="AB2" s="8" t="s">
        <v>8</v>
      </c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5" customHeight="1" x14ac:dyDescent="0.25">
      <c r="A3" s="5" t="s">
        <v>5</v>
      </c>
      <c r="C3" s="6" t="s">
        <v>25</v>
      </c>
      <c r="N3" s="21" t="s">
        <v>8</v>
      </c>
      <c r="O3" s="6" t="s">
        <v>37</v>
      </c>
      <c r="AB3" s="8" t="s">
        <v>8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29" t="s">
        <v>38</v>
      </c>
      <c r="AB4" s="8" t="s">
        <v>8</v>
      </c>
      <c r="AC4" s="9"/>
      <c r="AD4" s="9"/>
      <c r="AF4" s="30" t="s">
        <v>14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 s="17" t="s">
        <v>6</v>
      </c>
      <c r="C5" s="7" t="s">
        <v>39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32" t="s">
        <v>15</v>
      </c>
      <c r="AD5" s="33">
        <f ca="1">RANDBETWEEN(60,80)/100</f>
        <v>0.6</v>
      </c>
      <c r="AF5" s="34" t="e">
        <f>ROUND(SUM(H7:H8)/H6,3)</f>
        <v>#DIV/0!</v>
      </c>
      <c r="AG5" s="35" t="e">
        <f ca="1">IF(AD5=AF5,"ok","ERROR!")</f>
        <v>#DIV/0!</v>
      </c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5" customHeight="1" x14ac:dyDescent="0.35">
      <c r="A6" s="22"/>
      <c r="C6" s="7" t="s">
        <v>40</v>
      </c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8" t="s">
        <v>41</v>
      </c>
      <c r="P6" s="8" t="s">
        <v>12</v>
      </c>
      <c r="Q6" s="63" t="s">
        <v>42</v>
      </c>
      <c r="R6" s="63"/>
      <c r="S6" s="8" t="s">
        <v>43</v>
      </c>
      <c r="T6" s="63" t="s">
        <v>44</v>
      </c>
      <c r="U6" s="63"/>
      <c r="V6" s="8" t="s">
        <v>43</v>
      </c>
      <c r="W6" s="8" t="s">
        <v>45</v>
      </c>
      <c r="X6" s="7"/>
      <c r="Y6" s="7"/>
      <c r="Z6" s="7"/>
      <c r="AA6" s="7"/>
      <c r="AB6" s="8" t="s">
        <v>8</v>
      </c>
      <c r="AF6" s="9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5" customHeight="1" x14ac:dyDescent="0.25">
      <c r="C7" s="7" t="s">
        <v>46</v>
      </c>
      <c r="D7" s="7"/>
      <c r="E7" s="7"/>
      <c r="F7" s="7"/>
      <c r="G7" s="7"/>
      <c r="H7" s="7"/>
      <c r="I7" s="7"/>
      <c r="J7" s="7"/>
      <c r="K7" s="9"/>
      <c r="L7" s="9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F7" s="9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9"/>
      <c r="K8" s="9"/>
      <c r="L8" s="9"/>
      <c r="M8" s="9"/>
      <c r="N8" s="8" t="s">
        <v>8</v>
      </c>
      <c r="O8" s="8" t="s">
        <v>41</v>
      </c>
      <c r="P8" s="8" t="s">
        <v>12</v>
      </c>
      <c r="Q8" s="147">
        <f>D20</f>
        <v>0.6</v>
      </c>
      <c r="R8" s="63"/>
      <c r="S8" s="8" t="s">
        <v>43</v>
      </c>
      <c r="T8" s="64">
        <f>G14*G16/(1-G16)</f>
        <v>3.2307692307692301E-2</v>
      </c>
      <c r="U8" s="63"/>
      <c r="V8" s="8" t="s">
        <v>43</v>
      </c>
      <c r="W8" s="65">
        <f>(1+G14)^-(1/2)</f>
        <v>0.97128586235726422</v>
      </c>
      <c r="X8" s="7"/>
      <c r="Y8" s="7"/>
      <c r="Z8" s="7"/>
      <c r="AA8" s="7"/>
      <c r="AB8" s="8" t="s">
        <v>8</v>
      </c>
      <c r="AF8" s="9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5" customHeight="1" x14ac:dyDescent="0.25">
      <c r="A9" s="9"/>
      <c r="B9" s="9"/>
      <c r="C9" s="7" t="s">
        <v>47</v>
      </c>
      <c r="D9" s="7"/>
      <c r="E9" s="7"/>
      <c r="F9" s="7"/>
      <c r="G9" s="7"/>
      <c r="H9" s="7"/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E9" s="21"/>
      <c r="AF9" s="30" t="s">
        <v>14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5" customHeight="1" x14ac:dyDescent="0.25">
      <c r="A10" s="9"/>
      <c r="B10" s="9"/>
      <c r="C10" s="7" t="s">
        <v>48</v>
      </c>
      <c r="D10" s="7"/>
      <c r="E10" s="7"/>
      <c r="F10" s="7"/>
      <c r="G10" s="7"/>
      <c r="H10" s="7"/>
      <c r="I10" s="7"/>
      <c r="J10" s="9"/>
      <c r="K10" s="9"/>
      <c r="L10" s="9"/>
      <c r="M10" s="9"/>
      <c r="N10" s="8" t="s">
        <v>8</v>
      </c>
      <c r="O10" s="8" t="s">
        <v>41</v>
      </c>
      <c r="P10" s="8" t="s">
        <v>12</v>
      </c>
      <c r="Q10" s="66">
        <f>Q8*T8*W8</f>
        <v>1.8828002870310039E-2</v>
      </c>
      <c r="R10" s="61" t="s">
        <v>49</v>
      </c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38" t="s">
        <v>16</v>
      </c>
      <c r="AD10" s="39">
        <f ca="1">RANDBETWEEN(30,60)/1000</f>
        <v>5.6000000000000001E-2</v>
      </c>
      <c r="AF10" s="34" t="e">
        <f>ROUND(E12/H6,3)</f>
        <v>#DIV/0!</v>
      </c>
      <c r="AG10" s="35" t="e">
        <f ca="1">IF(AD10=AF10,"ok","ERROR!")</f>
        <v>#DIV/0!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5" customHeight="1" x14ac:dyDescent="0.25">
      <c r="A11" s="9"/>
      <c r="B11" s="9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40" t="s">
        <v>18</v>
      </c>
      <c r="AD11" s="41">
        <f ca="1">RANDBETWEEN(50,90)/1000</f>
        <v>7.4999999999999997E-2</v>
      </c>
      <c r="AF11" s="34" t="e">
        <f>ROUND(F12/H6,3)</f>
        <v>#DIV/0!</v>
      </c>
      <c r="AG11" s="35" t="e">
        <f ca="1">IF(AD11=AF11,"ok","ERROR!")</f>
        <v>#DIV/0!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" customHeight="1" x14ac:dyDescent="0.25">
      <c r="A12" s="17"/>
      <c r="B12" s="9"/>
      <c r="C12" s="7" t="s">
        <v>50</v>
      </c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67" t="s">
        <v>51</v>
      </c>
      <c r="P13" s="68" t="s">
        <v>52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customHeight="1" x14ac:dyDescent="0.25">
      <c r="A14" s="9"/>
      <c r="B14" s="9"/>
      <c r="C14" s="7"/>
      <c r="D14" s="69" t="s">
        <v>53</v>
      </c>
      <c r="E14" s="70"/>
      <c r="F14" s="71" t="s">
        <v>54</v>
      </c>
      <c r="G14" s="72">
        <v>0.06</v>
      </c>
      <c r="H14" s="7"/>
      <c r="I14" s="7"/>
      <c r="J14" s="7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D14" s="44">
        <f ca="1">RANDBETWEEN(5,15)/100</f>
        <v>0.08</v>
      </c>
      <c r="AE14" s="21">
        <v>3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5" customHeight="1" x14ac:dyDescent="0.35">
      <c r="C15" s="7"/>
      <c r="D15" s="73" t="s">
        <v>55</v>
      </c>
      <c r="E15" s="42"/>
      <c r="F15" s="74" t="s">
        <v>56</v>
      </c>
      <c r="G15" s="75">
        <v>0.2</v>
      </c>
      <c r="H15" s="7"/>
      <c r="I15" s="7"/>
      <c r="J15" s="7"/>
      <c r="K15" s="9"/>
      <c r="L15" s="9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D15" s="45">
        <f ca="1">RANDBETWEEN(10,20)/10000</f>
        <v>1.1999999999999999E-3</v>
      </c>
      <c r="AE15" s="21">
        <v>4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 x14ac:dyDescent="0.35">
      <c r="C16" s="7"/>
      <c r="D16" s="76" t="s">
        <v>57</v>
      </c>
      <c r="E16" s="43"/>
      <c r="F16" s="77" t="s">
        <v>58</v>
      </c>
      <c r="G16" s="78">
        <v>0.35</v>
      </c>
      <c r="H16" s="7"/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D16" s="45">
        <f ca="1">RANDBETWEEN(10,20)/100000</f>
        <v>1.6000000000000001E-4</v>
      </c>
      <c r="AE16" s="21">
        <v>5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5" customHeight="1" x14ac:dyDescent="0.25">
      <c r="C17" s="7"/>
      <c r="D17" s="7"/>
      <c r="E17" s="7"/>
      <c r="F17" s="7"/>
      <c r="G17" s="7"/>
      <c r="H17" s="7"/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D17" s="45">
        <f ca="1">RANDBETWEEN(-20,20)/100000</f>
        <v>1.3999999999999999E-4</v>
      </c>
      <c r="AE17" s="21">
        <v>6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15" customHeight="1" x14ac:dyDescent="0.25">
      <c r="C18" s="7" t="s">
        <v>59</v>
      </c>
      <c r="D18" s="7"/>
      <c r="E18" s="7"/>
      <c r="F18" s="7"/>
      <c r="G18" s="7"/>
      <c r="H18" s="7"/>
      <c r="I18" s="7"/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D18" s="45">
        <f ca="1">RANDBETWEEN(10,20)/100000</f>
        <v>1E-4</v>
      </c>
      <c r="AE18" s="21">
        <v>7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 x14ac:dyDescent="0.25">
      <c r="C19" s="7"/>
      <c r="D19" s="7"/>
      <c r="E19" s="7"/>
      <c r="F19" s="7"/>
      <c r="G19" s="7"/>
      <c r="H19" s="7"/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D19" s="45">
        <f ca="1">RANDBETWEEN(-20,20)/100000</f>
        <v>6.0000000000000002E-5</v>
      </c>
      <c r="AE19" s="21">
        <v>8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5" customHeight="1" x14ac:dyDescent="0.25">
      <c r="C20" s="7"/>
      <c r="D20" s="79">
        <v>0.6</v>
      </c>
      <c r="E20" s="7" t="s">
        <v>60</v>
      </c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D20" s="45">
        <f ca="1">RANDBETWEEN(100,200)/100000</f>
        <v>1.34E-3</v>
      </c>
      <c r="AE20" s="21">
        <v>9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D21" s="46">
        <f ca="1">RANDBETWEEN(100,200)/10000</f>
        <v>1.14E-2</v>
      </c>
      <c r="AE21" s="21">
        <v>10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 x14ac:dyDescent="0.25">
      <c r="C22" s="7" t="s">
        <v>61</v>
      </c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 x14ac:dyDescent="0.25">
      <c r="C23" s="6" t="s">
        <v>62</v>
      </c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15" customHeight="1" x14ac:dyDescent="0.25"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  <c r="AD24" s="9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15" customHeight="1" x14ac:dyDescent="0.25"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  <c r="AD25" s="9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5" customHeight="1" x14ac:dyDescent="0.25">
      <c r="A26" s="17" t="s">
        <v>11</v>
      </c>
      <c r="B26" s="9"/>
      <c r="C26" s="80" t="s">
        <v>63</v>
      </c>
      <c r="D26" s="80"/>
      <c r="E26" s="80"/>
      <c r="F26" s="80"/>
      <c r="G26" s="80"/>
      <c r="H26" s="80"/>
      <c r="I26" s="80"/>
      <c r="J26" s="25"/>
      <c r="K26" s="25"/>
      <c r="L26" s="25"/>
      <c r="M26" s="25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  <c r="AD26" s="7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25">
      <c r="A27" s="9"/>
      <c r="B27" s="9"/>
      <c r="C27" s="80" t="s">
        <v>64</v>
      </c>
      <c r="D27" s="80"/>
      <c r="E27" s="80"/>
      <c r="F27" s="80"/>
      <c r="G27" s="80"/>
      <c r="H27" s="80"/>
      <c r="I27" s="80"/>
      <c r="J27" s="25"/>
      <c r="K27" s="25"/>
      <c r="L27" s="25"/>
      <c r="M27" s="25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  <c r="AD27" s="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25">
      <c r="A28" s="9"/>
      <c r="B28" s="9"/>
      <c r="C28" s="80" t="s">
        <v>65</v>
      </c>
      <c r="D28" s="80"/>
      <c r="E28" s="80"/>
      <c r="F28" s="80"/>
      <c r="G28" s="80"/>
      <c r="H28" s="80"/>
      <c r="I28" s="80"/>
      <c r="J28" s="25"/>
      <c r="K28" s="25"/>
      <c r="L28" s="25"/>
      <c r="M28" s="25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  <c r="AD28" s="7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  <c r="AD29" s="7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  <c r="AD30" s="7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  <c r="AD31" s="7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  <c r="AD32" s="7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  <c r="AD33" s="7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  <c r="AD34" s="7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  <c r="AD35" s="7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  <c r="AD36" s="7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  <c r="AD37" s="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  <c r="AD38" s="7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  <c r="AD39" s="7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D40" s="7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D41" s="7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D42" s="7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D43" s="7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D44" s="7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  <c r="AD45" s="7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  <c r="AD46" s="7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  <c r="AD47" s="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D48" s="7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4:56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D49" s="7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4:56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D50" s="7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4:56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 s="7"/>
      <c r="AD51" s="7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4:56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 s="7"/>
      <c r="AD52" s="7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4:56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 s="7"/>
      <c r="AD53" s="7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4:56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 s="7"/>
      <c r="AD54" s="7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4:56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4:56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 s="7"/>
      <c r="AD56" s="7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4:56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 s="7"/>
      <c r="AD57" s="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4:56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 s="7"/>
      <c r="AD58" s="7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4:56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6384" width="9.140625" style="6"/>
  </cols>
  <sheetData>
    <row r="1" spans="1:33" ht="15" customHeight="1" x14ac:dyDescent="0.25">
      <c r="A1" s="5" t="s">
        <v>3</v>
      </c>
      <c r="C1" t="s">
        <v>35</v>
      </c>
      <c r="D1" s="20"/>
      <c r="M1" s="14" t="s">
        <v>7</v>
      </c>
      <c r="N1" s="21" t="s">
        <v>8</v>
      </c>
      <c r="AB1" s="8" t="s">
        <v>8</v>
      </c>
      <c r="AC1" s="5" t="s">
        <v>13</v>
      </c>
    </row>
    <row r="2" spans="1:33" ht="15" customHeight="1" x14ac:dyDescent="0.25">
      <c r="A2" s="5" t="s">
        <v>4</v>
      </c>
      <c r="C2" s="6" t="s">
        <v>66</v>
      </c>
      <c r="N2" s="21" t="s">
        <v>8</v>
      </c>
      <c r="AB2" s="8" t="s">
        <v>8</v>
      </c>
    </row>
    <row r="3" spans="1:33" ht="15" customHeight="1" x14ac:dyDescent="0.25">
      <c r="A3" s="5" t="s">
        <v>5</v>
      </c>
      <c r="C3" s="6" t="s">
        <v>67</v>
      </c>
      <c r="N3" s="21" t="s">
        <v>8</v>
      </c>
      <c r="O3" s="21" t="s">
        <v>68</v>
      </c>
      <c r="P3" s="81" t="s">
        <v>69</v>
      </c>
      <c r="Q3" s="82"/>
      <c r="R3" s="83" t="s">
        <v>12</v>
      </c>
      <c r="S3" s="82" t="s">
        <v>70</v>
      </c>
      <c r="T3" s="82"/>
      <c r="U3" s="82"/>
      <c r="V3" s="82"/>
      <c r="W3" s="84"/>
      <c r="AB3" s="8" t="s">
        <v>8</v>
      </c>
      <c r="AC3" s="48" t="s">
        <v>21</v>
      </c>
      <c r="AD3" s="18"/>
      <c r="AE3" s="49">
        <f ca="1">RANDBETWEEN(1,10)</f>
        <v>3</v>
      </c>
      <c r="AF3" s="50">
        <f ca="1">AE3</f>
        <v>3</v>
      </c>
      <c r="AG3" s="9"/>
    </row>
    <row r="4" spans="1:33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51" t="s">
        <v>22</v>
      </c>
      <c r="AD4" s="52"/>
      <c r="AE4" s="51" t="s">
        <v>23</v>
      </c>
      <c r="AF4" s="53"/>
      <c r="AG4" s="9"/>
    </row>
    <row r="5" spans="1:33" ht="15" customHeight="1" x14ac:dyDescent="0.25">
      <c r="A5" s="17" t="s">
        <v>6</v>
      </c>
      <c r="C5" s="7" t="s">
        <v>71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6" t="s">
        <v>69</v>
      </c>
      <c r="Q5" s="7"/>
      <c r="R5" s="21" t="s">
        <v>12</v>
      </c>
      <c r="S5" s="21" t="s">
        <v>72</v>
      </c>
      <c r="Z5" s="7"/>
      <c r="AA5" s="7"/>
      <c r="AB5" s="8" t="s">
        <v>8</v>
      </c>
      <c r="AC5" s="54" t="s">
        <v>9</v>
      </c>
      <c r="AD5" s="55" t="s">
        <v>10</v>
      </c>
      <c r="AE5" s="54" t="s">
        <v>9</v>
      </c>
      <c r="AF5" s="55" t="s">
        <v>10</v>
      </c>
      <c r="AG5" s="9"/>
    </row>
    <row r="6" spans="1:33" ht="15" customHeight="1" x14ac:dyDescent="0.25">
      <c r="A6" s="22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47" t="s">
        <v>19</v>
      </c>
      <c r="S6" s="19" t="s">
        <v>73</v>
      </c>
      <c r="T6" s="21" t="s">
        <v>74</v>
      </c>
      <c r="U6" s="21" t="s">
        <v>43</v>
      </c>
      <c r="V6" s="21" t="s">
        <v>75</v>
      </c>
      <c r="W6" s="21" t="s">
        <v>76</v>
      </c>
      <c r="Z6" s="7"/>
      <c r="AA6" s="7"/>
      <c r="AB6" s="8" t="s">
        <v>8</v>
      </c>
      <c r="AC6" s="56"/>
      <c r="AD6" s="56">
        <v>625</v>
      </c>
      <c r="AE6" s="16"/>
      <c r="AF6" s="16">
        <v>1</v>
      </c>
      <c r="AG6" s="9"/>
    </row>
    <row r="7" spans="1:33" ht="15" customHeight="1" x14ac:dyDescent="0.25">
      <c r="C7" s="69" t="s">
        <v>77</v>
      </c>
      <c r="D7" s="85"/>
      <c r="E7" s="85"/>
      <c r="F7" s="85"/>
      <c r="G7" s="86" t="s">
        <v>72</v>
      </c>
      <c r="H7" s="31">
        <v>460</v>
      </c>
      <c r="I7" s="7"/>
      <c r="J7" s="7"/>
      <c r="K7" s="9"/>
      <c r="L7" s="9"/>
      <c r="M7" s="9"/>
      <c r="N7" s="8" t="s">
        <v>8</v>
      </c>
      <c r="O7" s="7"/>
      <c r="P7" s="7"/>
      <c r="Q7" s="7"/>
      <c r="R7" s="47" t="s">
        <v>19</v>
      </c>
      <c r="S7" s="8" t="s">
        <v>73</v>
      </c>
      <c r="T7" s="8">
        <v>1</v>
      </c>
      <c r="U7" s="8" t="s">
        <v>17</v>
      </c>
      <c r="V7" s="8" t="s">
        <v>78</v>
      </c>
      <c r="W7" s="8" t="s">
        <v>76</v>
      </c>
      <c r="X7" s="8" t="s">
        <v>43</v>
      </c>
      <c r="Y7" s="8" t="s">
        <v>79</v>
      </c>
      <c r="Z7" s="7"/>
      <c r="AA7" s="7"/>
      <c r="AB7" s="8" t="s">
        <v>8</v>
      </c>
      <c r="AC7" s="56">
        <v>650</v>
      </c>
      <c r="AD7" s="56">
        <v>500</v>
      </c>
      <c r="AE7" s="16">
        <v>1</v>
      </c>
      <c r="AF7" s="16">
        <v>0.76</v>
      </c>
      <c r="AG7" s="9"/>
    </row>
    <row r="8" spans="1:33" ht="15" customHeight="1" x14ac:dyDescent="0.25">
      <c r="A8" s="17"/>
      <c r="B8" s="9"/>
      <c r="C8" s="73" t="s">
        <v>80</v>
      </c>
      <c r="D8" s="80"/>
      <c r="E8" s="80"/>
      <c r="F8" s="80"/>
      <c r="G8" s="87" t="s">
        <v>81</v>
      </c>
      <c r="H8" s="36">
        <v>60</v>
      </c>
      <c r="I8" s="7"/>
      <c r="J8" s="9"/>
      <c r="K8" s="9"/>
      <c r="L8" s="9"/>
      <c r="M8" s="9"/>
      <c r="N8" s="8" t="s">
        <v>8</v>
      </c>
      <c r="O8" s="7"/>
      <c r="P8" s="7"/>
      <c r="Q8" s="7"/>
      <c r="R8" s="47" t="s">
        <v>20</v>
      </c>
      <c r="S8" s="8" t="s">
        <v>81</v>
      </c>
      <c r="T8" s="7"/>
      <c r="U8" s="7"/>
      <c r="V8" s="7"/>
      <c r="W8" s="7"/>
      <c r="X8" s="7"/>
      <c r="Y8" s="7"/>
      <c r="Z8" s="7"/>
      <c r="AA8" s="7"/>
      <c r="AB8" s="8" t="s">
        <v>8</v>
      </c>
      <c r="AC8" s="59">
        <v>575</v>
      </c>
      <c r="AD8" s="59">
        <v>400</v>
      </c>
      <c r="AE8" s="16">
        <v>0.88</v>
      </c>
      <c r="AF8" s="16">
        <v>0.61</v>
      </c>
      <c r="AG8" s="9"/>
    </row>
    <row r="9" spans="1:33" ht="15" customHeight="1" x14ac:dyDescent="0.25">
      <c r="A9" s="9"/>
      <c r="B9" s="9"/>
      <c r="C9" s="73" t="s">
        <v>82</v>
      </c>
      <c r="D9" s="80"/>
      <c r="E9" s="80"/>
      <c r="F9" s="80"/>
      <c r="G9" s="87" t="s">
        <v>75</v>
      </c>
      <c r="H9" s="36">
        <v>380</v>
      </c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56">
        <v>415</v>
      </c>
      <c r="AD9" s="56">
        <v>250</v>
      </c>
      <c r="AE9" s="16">
        <v>0.6</v>
      </c>
      <c r="AF9" s="16">
        <v>0.38</v>
      </c>
      <c r="AG9" s="9"/>
    </row>
    <row r="10" spans="1:33" ht="15" customHeight="1" x14ac:dyDescent="0.25">
      <c r="A10" s="9"/>
      <c r="B10" s="9"/>
      <c r="C10" s="76" t="s">
        <v>83</v>
      </c>
      <c r="D10" s="88"/>
      <c r="E10" s="88"/>
      <c r="F10" s="88"/>
      <c r="G10" s="89" t="s">
        <v>79</v>
      </c>
      <c r="H10" s="37">
        <v>1010</v>
      </c>
      <c r="I10" s="7"/>
      <c r="J10" s="9"/>
      <c r="K10" s="9"/>
      <c r="L10" s="9"/>
      <c r="M10" s="9"/>
      <c r="N10" s="8" t="s">
        <v>8</v>
      </c>
      <c r="O10" s="7"/>
      <c r="P10" s="7"/>
      <c r="Q10" s="7"/>
      <c r="R10" s="21" t="s">
        <v>12</v>
      </c>
      <c r="S10" s="8">
        <f>H7</f>
        <v>460</v>
      </c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56">
        <v>100</v>
      </c>
      <c r="AD10" s="56">
        <v>50</v>
      </c>
      <c r="AE10" s="16">
        <v>0.15</v>
      </c>
      <c r="AF10" s="16">
        <v>0.08</v>
      </c>
      <c r="AG10" s="9"/>
    </row>
    <row r="11" spans="1:33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47" t="s">
        <v>19</v>
      </c>
      <c r="S11" s="19" t="s">
        <v>73</v>
      </c>
      <c r="T11" s="90">
        <f>H19</f>
        <v>0.26</v>
      </c>
      <c r="U11" s="21" t="s">
        <v>43</v>
      </c>
      <c r="V11" s="8">
        <f>H9</f>
        <v>380</v>
      </c>
      <c r="W11" s="21" t="s">
        <v>76</v>
      </c>
      <c r="Z11" s="7"/>
      <c r="AA11" s="7"/>
      <c r="AB11" s="8" t="s">
        <v>8</v>
      </c>
      <c r="AC11" s="59">
        <v>125</v>
      </c>
      <c r="AD11" s="59">
        <v>105</v>
      </c>
      <c r="AE11" s="16">
        <v>0.19</v>
      </c>
      <c r="AF11" s="16">
        <v>0.16</v>
      </c>
      <c r="AG11" s="9"/>
    </row>
    <row r="12" spans="1:33" ht="15" customHeight="1" x14ac:dyDescent="0.25">
      <c r="A12" s="9"/>
      <c r="B12" s="9"/>
      <c r="C12" s="7" t="s">
        <v>84</v>
      </c>
      <c r="D12" s="7"/>
      <c r="E12" s="7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7"/>
      <c r="P12" s="7"/>
      <c r="Q12" s="7"/>
      <c r="R12" s="47" t="s">
        <v>19</v>
      </c>
      <c r="S12" s="8" t="s">
        <v>73</v>
      </c>
      <c r="T12" s="8">
        <v>1</v>
      </c>
      <c r="U12" s="8" t="s">
        <v>17</v>
      </c>
      <c r="V12" s="90">
        <f>H20</f>
        <v>0.88</v>
      </c>
      <c r="W12" s="8" t="s">
        <v>76</v>
      </c>
      <c r="X12" s="8" t="s">
        <v>43</v>
      </c>
      <c r="Y12" s="8">
        <f>H10</f>
        <v>1010</v>
      </c>
      <c r="Z12" s="7"/>
      <c r="AA12" s="7"/>
      <c r="AB12" s="8" t="s">
        <v>8</v>
      </c>
      <c r="AC12" s="56">
        <v>60</v>
      </c>
      <c r="AD12" s="56">
        <v>55</v>
      </c>
      <c r="AE12" s="16">
        <v>0.09</v>
      </c>
      <c r="AF12" s="16">
        <v>0.08</v>
      </c>
      <c r="AG12" s="9"/>
    </row>
    <row r="13" spans="1:33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47" t="s">
        <v>20</v>
      </c>
      <c r="S13" s="8">
        <f>H8</f>
        <v>60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56">
        <v>12</v>
      </c>
      <c r="AD13" s="56">
        <v>5</v>
      </c>
      <c r="AE13" s="16">
        <v>0.02</v>
      </c>
      <c r="AF13" s="16">
        <v>0.01</v>
      </c>
      <c r="AG13" s="9"/>
    </row>
    <row r="14" spans="1:33" ht="15" customHeight="1" x14ac:dyDescent="0.25">
      <c r="A14" s="9"/>
      <c r="B14" s="9"/>
      <c r="C14" s="69" t="s">
        <v>85</v>
      </c>
      <c r="D14" s="85"/>
      <c r="E14" s="85"/>
      <c r="F14" s="70"/>
      <c r="G14" s="70" t="s">
        <v>86</v>
      </c>
      <c r="H14" s="31">
        <v>590</v>
      </c>
      <c r="I14" s="7"/>
      <c r="J14" s="9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56">
        <v>70</v>
      </c>
      <c r="AD14" s="56">
        <v>90</v>
      </c>
      <c r="AE14" s="16">
        <v>0.11</v>
      </c>
      <c r="AF14" s="16">
        <v>0.14000000000000001</v>
      </c>
      <c r="AG14" s="9"/>
    </row>
    <row r="15" spans="1:33" ht="15" customHeight="1" x14ac:dyDescent="0.25">
      <c r="C15" s="73" t="s">
        <v>87</v>
      </c>
      <c r="D15" s="80"/>
      <c r="E15" s="80"/>
      <c r="F15" s="42"/>
      <c r="G15" s="42" t="s">
        <v>88</v>
      </c>
      <c r="H15" s="36">
        <v>120</v>
      </c>
      <c r="I15" s="7"/>
      <c r="J15" s="7"/>
      <c r="K15" s="9"/>
      <c r="L15" s="9"/>
      <c r="M15" s="9"/>
      <c r="N15" s="8" t="s">
        <v>8</v>
      </c>
      <c r="O15" s="7"/>
      <c r="P15" s="91" t="s">
        <v>69</v>
      </c>
      <c r="Q15" s="63"/>
      <c r="R15" s="21" t="s">
        <v>12</v>
      </c>
      <c r="S15" s="92">
        <f>S10+T11*V11+(1-V12)*Y12-S13</f>
        <v>620</v>
      </c>
      <c r="T15" s="7" t="s">
        <v>89</v>
      </c>
      <c r="U15" s="7"/>
      <c r="V15" s="7"/>
      <c r="W15" s="7"/>
      <c r="X15" s="7"/>
      <c r="Y15" s="7"/>
      <c r="Z15" s="7"/>
      <c r="AA15" s="7"/>
      <c r="AB15" s="8" t="s">
        <v>8</v>
      </c>
      <c r="AC15" s="59">
        <v>8</v>
      </c>
      <c r="AD15" s="59">
        <v>10</v>
      </c>
      <c r="AE15" s="16">
        <v>0.01</v>
      </c>
      <c r="AF15" s="16">
        <v>0.02</v>
      </c>
      <c r="AG15" s="9"/>
    </row>
    <row r="16" spans="1:33" ht="15" customHeight="1" x14ac:dyDescent="0.25">
      <c r="C16" s="76" t="s">
        <v>90</v>
      </c>
      <c r="D16" s="88"/>
      <c r="E16" s="88"/>
      <c r="F16" s="43"/>
      <c r="G16" s="43" t="s">
        <v>91</v>
      </c>
      <c r="H16" s="37">
        <v>60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56">
        <v>6</v>
      </c>
      <c r="AD16" s="56">
        <v>4</v>
      </c>
      <c r="AE16" s="16">
        <v>0.01</v>
      </c>
      <c r="AF16" s="16">
        <v>0.01</v>
      </c>
      <c r="AG16" s="9"/>
    </row>
    <row r="17" spans="1:33" ht="15" customHeight="1" x14ac:dyDescent="0.25">
      <c r="C17" s="73" t="s">
        <v>92</v>
      </c>
      <c r="D17" s="80"/>
      <c r="E17" s="80"/>
      <c r="F17" s="42"/>
      <c r="G17" s="42" t="s">
        <v>93</v>
      </c>
      <c r="H17" s="75">
        <v>0.19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56">
        <v>23</v>
      </c>
      <c r="AD17" s="56">
        <v>20</v>
      </c>
      <c r="AE17" s="16">
        <v>0.04</v>
      </c>
      <c r="AF17" s="16">
        <v>0.03</v>
      </c>
      <c r="AG17" s="9"/>
    </row>
    <row r="18" spans="1:33" ht="15" customHeight="1" x14ac:dyDescent="0.25">
      <c r="C18" s="73" t="s">
        <v>94</v>
      </c>
      <c r="D18" s="80"/>
      <c r="E18" s="80"/>
      <c r="F18" s="42"/>
      <c r="G18" s="42" t="s">
        <v>95</v>
      </c>
      <c r="H18" s="75">
        <v>0.35</v>
      </c>
      <c r="I18" s="7"/>
      <c r="J18" s="7"/>
      <c r="K18" s="9"/>
      <c r="L18" s="9"/>
      <c r="M18" s="9"/>
      <c r="N18" s="8" t="s">
        <v>8</v>
      </c>
      <c r="O18" s="8" t="s">
        <v>96</v>
      </c>
      <c r="P18" s="93" t="s">
        <v>97</v>
      </c>
      <c r="Q18" s="94"/>
      <c r="R18" s="94" t="s">
        <v>12</v>
      </c>
      <c r="S18" s="94" t="s">
        <v>98</v>
      </c>
      <c r="T18" s="94"/>
      <c r="U18" s="94"/>
      <c r="V18" s="94"/>
      <c r="W18" s="95"/>
      <c r="X18" s="7"/>
      <c r="Y18" s="7"/>
      <c r="Z18" s="7"/>
      <c r="AA18" s="7"/>
      <c r="AB18" s="8" t="s">
        <v>8</v>
      </c>
      <c r="AC18" s="56">
        <v>7</v>
      </c>
      <c r="AD18" s="56">
        <v>3</v>
      </c>
      <c r="AE18" s="16">
        <v>0.01</v>
      </c>
      <c r="AF18" s="16">
        <v>0</v>
      </c>
      <c r="AG18" s="9"/>
    </row>
    <row r="19" spans="1:33" ht="15" customHeight="1" x14ac:dyDescent="0.25">
      <c r="C19" s="73" t="s">
        <v>99</v>
      </c>
      <c r="D19" s="80"/>
      <c r="E19" s="80"/>
      <c r="F19" s="42"/>
      <c r="G19" s="42" t="s">
        <v>74</v>
      </c>
      <c r="H19" s="75">
        <v>0.26</v>
      </c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56">
        <v>28</v>
      </c>
      <c r="AD19" s="56">
        <v>24</v>
      </c>
      <c r="AE19" s="16">
        <v>0.04</v>
      </c>
      <c r="AF19" s="16">
        <v>0.04</v>
      </c>
      <c r="AG19" s="9"/>
    </row>
    <row r="20" spans="1:33" ht="15" customHeight="1" x14ac:dyDescent="0.25">
      <c r="C20" s="76" t="s">
        <v>100</v>
      </c>
      <c r="D20" s="88"/>
      <c r="E20" s="88"/>
      <c r="F20" s="43"/>
      <c r="G20" s="43" t="s">
        <v>78</v>
      </c>
      <c r="H20" s="78">
        <v>0.88</v>
      </c>
      <c r="I20" s="7"/>
      <c r="J20" s="7"/>
      <c r="K20" s="9"/>
      <c r="L20" s="9"/>
      <c r="M20" s="9"/>
      <c r="N20" s="8" t="s">
        <v>8</v>
      </c>
      <c r="O20" s="7"/>
      <c r="P20" s="7" t="s">
        <v>101</v>
      </c>
      <c r="Q20" s="7"/>
      <c r="R20" s="21" t="s">
        <v>12</v>
      </c>
      <c r="S20" s="8" t="s">
        <v>102</v>
      </c>
      <c r="T20" s="8" t="s">
        <v>43</v>
      </c>
      <c r="U20" s="8" t="s">
        <v>103</v>
      </c>
      <c r="V20" s="8" t="s">
        <v>17</v>
      </c>
      <c r="W20" s="8" t="s">
        <v>95</v>
      </c>
      <c r="X20" s="96" t="s">
        <v>76</v>
      </c>
      <c r="Y20" s="96" t="s">
        <v>104</v>
      </c>
      <c r="Z20" s="8" t="s">
        <v>93</v>
      </c>
      <c r="AA20" s="7"/>
      <c r="AB20" s="8" t="s">
        <v>8</v>
      </c>
      <c r="AC20" s="59">
        <v>9</v>
      </c>
      <c r="AD20" s="59">
        <v>11</v>
      </c>
      <c r="AE20" s="16">
        <v>0.01</v>
      </c>
      <c r="AF20" s="16">
        <v>0.02</v>
      </c>
      <c r="AG20" s="9"/>
    </row>
    <row r="21" spans="1:33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21" t="s">
        <v>12</v>
      </c>
      <c r="S21" s="8">
        <f>H15</f>
        <v>120</v>
      </c>
      <c r="T21" s="8" t="s">
        <v>43</v>
      </c>
      <c r="U21" s="8" t="s">
        <v>103</v>
      </c>
      <c r="V21" s="8" t="s">
        <v>17</v>
      </c>
      <c r="W21" s="90">
        <f>H18</f>
        <v>0.35</v>
      </c>
      <c r="X21" s="96" t="s">
        <v>76</v>
      </c>
      <c r="Y21" s="96" t="s">
        <v>104</v>
      </c>
      <c r="Z21" s="90">
        <f>H17</f>
        <v>0.19</v>
      </c>
      <c r="AA21" s="7"/>
      <c r="AB21" s="8" t="s">
        <v>8</v>
      </c>
      <c r="AC21" s="56">
        <v>900</v>
      </c>
      <c r="AD21" s="56">
        <v>800</v>
      </c>
      <c r="AE21" s="16">
        <v>1.38</v>
      </c>
      <c r="AF21" s="16">
        <v>1.22</v>
      </c>
      <c r="AG21" s="9"/>
    </row>
    <row r="22" spans="1:33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97" t="s">
        <v>101</v>
      </c>
      <c r="Q22" s="97"/>
      <c r="R22" s="21" t="s">
        <v>12</v>
      </c>
      <c r="S22" s="98">
        <f>S21*(1-W21)/Z21</f>
        <v>410.5263157894737</v>
      </c>
      <c r="T22" s="7" t="s">
        <v>105</v>
      </c>
      <c r="U22" s="7"/>
      <c r="V22" s="7"/>
      <c r="W22" s="7"/>
      <c r="X22" s="7"/>
      <c r="Y22" s="7"/>
      <c r="Z22" s="7"/>
      <c r="AA22" s="7"/>
      <c r="AB22" s="8" t="s">
        <v>8</v>
      </c>
      <c r="AC22" s="56">
        <v>120</v>
      </c>
      <c r="AD22" s="56">
        <v>75</v>
      </c>
      <c r="AE22" s="16">
        <v>0.18</v>
      </c>
      <c r="AF22" s="16">
        <v>0.11</v>
      </c>
    </row>
    <row r="23" spans="1:33" ht="15" customHeight="1" x14ac:dyDescent="0.25">
      <c r="A23" s="5" t="s">
        <v>11</v>
      </c>
      <c r="B23" s="21" t="s">
        <v>68</v>
      </c>
      <c r="C23" s="7" t="s">
        <v>106</v>
      </c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61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7"/>
      <c r="AD23" s="7"/>
    </row>
    <row r="24" spans="1:33" ht="15" customHeight="1" x14ac:dyDescent="0.25">
      <c r="B24" s="21" t="s">
        <v>96</v>
      </c>
      <c r="C24" s="7" t="s">
        <v>107</v>
      </c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7"/>
      <c r="AD24" s="7"/>
    </row>
    <row r="25" spans="1:33" ht="15" customHeight="1" x14ac:dyDescent="0.25">
      <c r="B25" s="21" t="s">
        <v>108</v>
      </c>
      <c r="C25" s="7" t="s">
        <v>109</v>
      </c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7"/>
      <c r="AD25" s="7"/>
    </row>
    <row r="26" spans="1:33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8" t="s">
        <v>108</v>
      </c>
      <c r="P26" s="5" t="s">
        <v>110</v>
      </c>
      <c r="R26" s="6" t="s">
        <v>111</v>
      </c>
      <c r="AA26" s="7"/>
      <c r="AB26" s="8" t="s">
        <v>8</v>
      </c>
      <c r="AC26" s="7"/>
      <c r="AD26" s="7"/>
    </row>
    <row r="27" spans="1:33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AA27" s="7"/>
      <c r="AB27" s="8" t="s">
        <v>8</v>
      </c>
      <c r="AC27" s="7"/>
      <c r="AD27" s="7"/>
    </row>
    <row r="28" spans="1:33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99" t="s">
        <v>112</v>
      </c>
      <c r="Q28" s="100"/>
      <c r="R28" s="101" t="s">
        <v>113</v>
      </c>
      <c r="S28" s="100" t="s">
        <v>97</v>
      </c>
      <c r="T28" s="100"/>
      <c r="U28" s="102" t="s">
        <v>114</v>
      </c>
      <c r="V28" s="85" t="s">
        <v>115</v>
      </c>
      <c r="W28" s="85"/>
      <c r="X28" s="85"/>
      <c r="Y28" s="85"/>
      <c r="Z28" s="70"/>
      <c r="AA28" s="7"/>
      <c r="AB28" s="8" t="s">
        <v>8</v>
      </c>
      <c r="AC28" s="7"/>
      <c r="AD28" s="7"/>
    </row>
    <row r="29" spans="1:33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103" t="s">
        <v>112</v>
      </c>
      <c r="Q29" s="104"/>
      <c r="R29" s="105" t="s">
        <v>116</v>
      </c>
      <c r="S29" s="104" t="s">
        <v>97</v>
      </c>
      <c r="T29" s="104"/>
      <c r="U29" s="106" t="s">
        <v>114</v>
      </c>
      <c r="V29" s="80" t="s">
        <v>117</v>
      </c>
      <c r="W29" s="80"/>
      <c r="X29" s="80"/>
      <c r="Y29" s="80"/>
      <c r="Z29" s="42"/>
      <c r="AA29" s="7"/>
      <c r="AB29" s="8" t="s">
        <v>8</v>
      </c>
      <c r="AC29" s="7"/>
      <c r="AD29" s="7"/>
    </row>
    <row r="30" spans="1:33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07" t="s">
        <v>112</v>
      </c>
      <c r="Q30" s="108"/>
      <c r="R30" s="109" t="s">
        <v>12</v>
      </c>
      <c r="S30" s="108" t="s">
        <v>97</v>
      </c>
      <c r="T30" s="108"/>
      <c r="U30" s="110" t="s">
        <v>114</v>
      </c>
      <c r="V30" s="88" t="s">
        <v>118</v>
      </c>
      <c r="W30" s="88"/>
      <c r="X30" s="88"/>
      <c r="Y30" s="88"/>
      <c r="Z30" s="43"/>
      <c r="AA30" s="7"/>
      <c r="AB30" s="8" t="s">
        <v>8</v>
      </c>
      <c r="AC30" s="7"/>
      <c r="AD30" s="7"/>
    </row>
    <row r="31" spans="1:33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  <c r="AD31" s="7"/>
    </row>
    <row r="32" spans="1:33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17" t="s">
        <v>119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  <c r="AD32" s="7"/>
    </row>
    <row r="33" spans="1:3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  <c r="AD33" s="7"/>
    </row>
    <row r="34" spans="1:3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111" t="s">
        <v>112</v>
      </c>
      <c r="Q34" s="111"/>
      <c r="R34" s="35" t="s">
        <v>12</v>
      </c>
      <c r="S34" s="112">
        <f>S15-H16</f>
        <v>560</v>
      </c>
      <c r="AA34" s="7"/>
      <c r="AB34" s="8" t="s">
        <v>8</v>
      </c>
      <c r="AC34" s="7"/>
      <c r="AD34" s="7"/>
    </row>
    <row r="35" spans="1:3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  <c r="AD35" s="7"/>
    </row>
    <row r="36" spans="1:3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" t="s">
        <v>120</v>
      </c>
      <c r="AA36" s="7"/>
      <c r="AB36" s="8" t="s">
        <v>8</v>
      </c>
      <c r="AC36" s="7"/>
      <c r="AD36" s="7"/>
    </row>
    <row r="37" spans="1:3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  <c r="AD37" s="7"/>
    </row>
    <row r="38" spans="1:3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113" t="s">
        <v>121</v>
      </c>
      <c r="Q38" s="114"/>
      <c r="R38" s="115" t="str">
        <f>IF(S15-H16&gt;S22,"&gt;",IF(S15-H16&lt;S22,"&lt;","="))</f>
        <v>&gt;</v>
      </c>
      <c r="S38" s="114" t="s">
        <v>97</v>
      </c>
      <c r="T38" s="114"/>
      <c r="U38" s="116" t="s">
        <v>114</v>
      </c>
      <c r="V38" s="117" t="str">
        <f>IF(S15-H16&gt;S22,"liquidate",IF(S15-H16&lt;S22,"continue operations","doesn't matter"))</f>
        <v>liquidate</v>
      </c>
      <c r="W38" s="118"/>
      <c r="X38" s="7" t="s">
        <v>122</v>
      </c>
      <c r="Y38" s="7"/>
      <c r="Z38" s="7"/>
      <c r="AA38" s="7"/>
      <c r="AB38" s="8" t="s">
        <v>8</v>
      </c>
      <c r="AC38" s="7"/>
      <c r="AD38" s="7"/>
    </row>
    <row r="39" spans="1:3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Z39" s="7"/>
      <c r="AA39" s="7"/>
      <c r="AB39" s="8" t="s">
        <v>8</v>
      </c>
      <c r="AC39" s="7"/>
      <c r="AD39" s="7"/>
    </row>
    <row r="40" spans="1:30" ht="15" customHeight="1" x14ac:dyDescent="0.25">
      <c r="N40" s="8" t="s">
        <v>8</v>
      </c>
      <c r="Z40" s="7"/>
      <c r="AA40" s="7"/>
      <c r="AB40" s="8" t="s">
        <v>8</v>
      </c>
      <c r="AC40" s="7"/>
      <c r="AD40" s="7"/>
    </row>
    <row r="41" spans="1:30" ht="15" customHeight="1" x14ac:dyDescent="0.25">
      <c r="N41" s="8" t="s">
        <v>8</v>
      </c>
      <c r="AA41" s="7"/>
      <c r="AB41" s="8" t="s">
        <v>8</v>
      </c>
      <c r="AC41" s="7"/>
      <c r="AD41" s="7"/>
    </row>
    <row r="42" spans="1:30" ht="15" customHeight="1" x14ac:dyDescent="0.25">
      <c r="N42" s="8" t="s">
        <v>8</v>
      </c>
      <c r="AA42" s="7"/>
      <c r="AB42" s="8" t="s">
        <v>8</v>
      </c>
      <c r="AC42" s="7"/>
      <c r="AD42" s="7"/>
    </row>
    <row r="43" spans="1:30" ht="15" customHeight="1" x14ac:dyDescent="0.25">
      <c r="N43" s="8" t="s">
        <v>8</v>
      </c>
      <c r="AA43" s="7"/>
      <c r="AB43" s="8" t="s">
        <v>8</v>
      </c>
      <c r="AC43" s="7"/>
      <c r="AD43" s="7"/>
    </row>
    <row r="44" spans="1:30" ht="15" customHeight="1" x14ac:dyDescent="0.25">
      <c r="N44" s="8" t="s">
        <v>8</v>
      </c>
      <c r="AA44" s="7"/>
      <c r="AB44" s="8" t="s">
        <v>8</v>
      </c>
      <c r="AC44" s="7"/>
      <c r="AD44" s="7"/>
    </row>
    <row r="45" spans="1:30" ht="15" customHeight="1" x14ac:dyDescent="0.25">
      <c r="N45" s="8" t="s">
        <v>8</v>
      </c>
      <c r="AA45" s="7"/>
      <c r="AB45" s="8" t="s">
        <v>8</v>
      </c>
      <c r="AC45" s="7"/>
      <c r="AD45" s="7"/>
    </row>
    <row r="46" spans="1:30" ht="15" customHeight="1" x14ac:dyDescent="0.25">
      <c r="N46" s="8" t="s">
        <v>8</v>
      </c>
      <c r="AA46" s="7"/>
      <c r="AB46" s="8" t="s">
        <v>8</v>
      </c>
      <c r="AC46" s="7"/>
      <c r="AD46" s="7"/>
    </row>
    <row r="47" spans="1:30" ht="15" customHeight="1" x14ac:dyDescent="0.25">
      <c r="N47" s="8" t="s">
        <v>8</v>
      </c>
      <c r="AA47" s="7"/>
      <c r="AB47" s="8" t="s">
        <v>8</v>
      </c>
      <c r="AC47" s="7"/>
      <c r="AD47" s="7"/>
    </row>
    <row r="48" spans="1:30" ht="15" customHeight="1" x14ac:dyDescent="0.25">
      <c r="N48" s="8" t="s">
        <v>8</v>
      </c>
      <c r="AA48" s="7"/>
      <c r="AB48" s="8" t="s">
        <v>8</v>
      </c>
      <c r="AC48" s="7"/>
      <c r="AD48" s="7"/>
    </row>
    <row r="49" spans="14:40" ht="15" customHeight="1" x14ac:dyDescent="0.25">
      <c r="N49" s="8" t="s">
        <v>8</v>
      </c>
      <c r="AA49" s="7"/>
      <c r="AB49" s="8" t="s">
        <v>8</v>
      </c>
      <c r="AC49" s="7"/>
      <c r="AD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D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 s="7"/>
      <c r="AD51" s="7"/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 s="7"/>
      <c r="AD52" s="7"/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 s="7"/>
      <c r="AD53" s="7"/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 s="7"/>
      <c r="AD54" s="7"/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 s="7"/>
      <c r="AD56" s="7"/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 s="7"/>
      <c r="AD57" s="7"/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 s="7"/>
      <c r="AD58" s="7"/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35</v>
      </c>
      <c r="D1" s="20"/>
      <c r="M1" s="14" t="s">
        <v>7</v>
      </c>
      <c r="N1" s="21" t="s">
        <v>8</v>
      </c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66</v>
      </c>
      <c r="N2" s="21" t="s">
        <v>8</v>
      </c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67</v>
      </c>
      <c r="N3" s="21" t="s">
        <v>8</v>
      </c>
      <c r="O3" s="21" t="s">
        <v>68</v>
      </c>
      <c r="P3" s="81" t="s">
        <v>69</v>
      </c>
      <c r="Q3" s="82"/>
      <c r="R3" s="83" t="s">
        <v>12</v>
      </c>
      <c r="S3" s="82" t="s">
        <v>70</v>
      </c>
      <c r="T3" s="82"/>
      <c r="U3" s="82"/>
      <c r="V3" s="82"/>
      <c r="W3" s="84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6</v>
      </c>
      <c r="C5" s="7" t="s">
        <v>71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6" t="s">
        <v>69</v>
      </c>
      <c r="Q5" s="7"/>
      <c r="R5" s="21" t="s">
        <v>12</v>
      </c>
      <c r="S5" s="21" t="s">
        <v>72</v>
      </c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2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47" t="s">
        <v>19</v>
      </c>
      <c r="S6" s="19" t="s">
        <v>73</v>
      </c>
      <c r="T6" s="21" t="s">
        <v>74</v>
      </c>
      <c r="U6" s="21" t="s">
        <v>43</v>
      </c>
      <c r="V6" s="21" t="s">
        <v>75</v>
      </c>
      <c r="W6" s="21" t="s">
        <v>76</v>
      </c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C7" s="69" t="s">
        <v>77</v>
      </c>
      <c r="D7" s="85"/>
      <c r="E7" s="85"/>
      <c r="F7" s="85"/>
      <c r="G7" s="86" t="s">
        <v>72</v>
      </c>
      <c r="H7" s="31">
        <v>200</v>
      </c>
      <c r="I7" s="7"/>
      <c r="J7" s="7"/>
      <c r="K7" s="9"/>
      <c r="L7" s="9"/>
      <c r="M7" s="9"/>
      <c r="N7" s="8" t="s">
        <v>8</v>
      </c>
      <c r="O7" s="7"/>
      <c r="P7" s="7"/>
      <c r="Q7" s="7"/>
      <c r="R7" s="47" t="s">
        <v>19</v>
      </c>
      <c r="S7" s="8" t="s">
        <v>73</v>
      </c>
      <c r="T7" s="8">
        <v>1</v>
      </c>
      <c r="U7" s="8" t="s">
        <v>17</v>
      </c>
      <c r="V7" s="8" t="s">
        <v>78</v>
      </c>
      <c r="W7" s="8" t="s">
        <v>76</v>
      </c>
      <c r="X7" s="8" t="s">
        <v>43</v>
      </c>
      <c r="Y7" s="8" t="s">
        <v>79</v>
      </c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3" t="s">
        <v>80</v>
      </c>
      <c r="D8" s="80"/>
      <c r="E8" s="80"/>
      <c r="F8" s="80"/>
      <c r="G8" s="87" t="s">
        <v>81</v>
      </c>
      <c r="H8" s="36">
        <v>30</v>
      </c>
      <c r="I8" s="7"/>
      <c r="J8" s="9"/>
      <c r="K8" s="9"/>
      <c r="L8" s="9"/>
      <c r="M8" s="9"/>
      <c r="N8" s="8" t="s">
        <v>8</v>
      </c>
      <c r="O8" s="7"/>
      <c r="P8" s="7"/>
      <c r="Q8" s="7"/>
      <c r="R8" s="47" t="s">
        <v>20</v>
      </c>
      <c r="S8" s="8" t="s">
        <v>81</v>
      </c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73" t="s">
        <v>82</v>
      </c>
      <c r="D9" s="80"/>
      <c r="E9" s="80"/>
      <c r="F9" s="80"/>
      <c r="G9" s="87" t="s">
        <v>75</v>
      </c>
      <c r="H9" s="36">
        <v>120</v>
      </c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6" t="s">
        <v>83</v>
      </c>
      <c r="D10" s="88"/>
      <c r="E10" s="88"/>
      <c r="F10" s="88"/>
      <c r="G10" s="89" t="s">
        <v>79</v>
      </c>
      <c r="H10" s="37">
        <v>330</v>
      </c>
      <c r="I10" s="7"/>
      <c r="J10" s="9"/>
      <c r="K10" s="9"/>
      <c r="L10" s="9"/>
      <c r="M10" s="9"/>
      <c r="N10" s="8" t="s">
        <v>8</v>
      </c>
      <c r="O10" s="7"/>
      <c r="P10" s="7"/>
      <c r="Q10" s="7"/>
      <c r="R10" s="21" t="s">
        <v>12</v>
      </c>
      <c r="S10" s="8">
        <f>H7</f>
        <v>200</v>
      </c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47" t="s">
        <v>19</v>
      </c>
      <c r="S11" s="19" t="s">
        <v>73</v>
      </c>
      <c r="T11" s="90">
        <f>H19</f>
        <v>0.25</v>
      </c>
      <c r="U11" s="21" t="s">
        <v>43</v>
      </c>
      <c r="V11" s="8">
        <f>H9</f>
        <v>120</v>
      </c>
      <c r="W11" s="21" t="s">
        <v>76</v>
      </c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7" t="s">
        <v>84</v>
      </c>
      <c r="D12" s="7"/>
      <c r="E12" s="7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7"/>
      <c r="P12" s="7"/>
      <c r="Q12" s="7"/>
      <c r="R12" s="47" t="s">
        <v>19</v>
      </c>
      <c r="S12" s="8" t="s">
        <v>73</v>
      </c>
      <c r="T12" s="8">
        <v>1</v>
      </c>
      <c r="U12" s="8" t="s">
        <v>17</v>
      </c>
      <c r="V12" s="90">
        <f>H20</f>
        <v>0.88</v>
      </c>
      <c r="W12" s="8" t="s">
        <v>76</v>
      </c>
      <c r="X12" s="8" t="s">
        <v>43</v>
      </c>
      <c r="Y12" s="8">
        <f>H10</f>
        <v>330</v>
      </c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47" t="s">
        <v>20</v>
      </c>
      <c r="S13" s="8">
        <f>H8</f>
        <v>30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69" t="s">
        <v>85</v>
      </c>
      <c r="D14" s="85"/>
      <c r="E14" s="85"/>
      <c r="F14" s="70"/>
      <c r="G14" s="70" t="s">
        <v>86</v>
      </c>
      <c r="H14" s="31">
        <v>290</v>
      </c>
      <c r="I14" s="7"/>
      <c r="J14" s="9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3" t="s">
        <v>87</v>
      </c>
      <c r="D15" s="80"/>
      <c r="E15" s="80"/>
      <c r="F15" s="42"/>
      <c r="G15" s="42" t="s">
        <v>88</v>
      </c>
      <c r="H15" s="36">
        <v>50</v>
      </c>
      <c r="I15" s="7"/>
      <c r="J15" s="7"/>
      <c r="K15" s="9"/>
      <c r="L15" s="9"/>
      <c r="M15" s="9"/>
      <c r="N15" s="8" t="s">
        <v>8</v>
      </c>
      <c r="O15" s="7"/>
      <c r="P15" s="91" t="s">
        <v>69</v>
      </c>
      <c r="Q15" s="63"/>
      <c r="R15" s="21" t="s">
        <v>12</v>
      </c>
      <c r="S15" s="92">
        <f>S10+T11*V11+(1-V12)*Y12-S13</f>
        <v>239.60000000000002</v>
      </c>
      <c r="T15" s="7" t="s">
        <v>89</v>
      </c>
      <c r="U15" s="7"/>
      <c r="V15" s="7"/>
      <c r="W15" s="7"/>
      <c r="X15" s="7"/>
      <c r="Y15" s="7"/>
      <c r="Z15" s="7"/>
      <c r="AA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6" t="s">
        <v>90</v>
      </c>
      <c r="D16" s="88"/>
      <c r="E16" s="88"/>
      <c r="F16" s="43"/>
      <c r="G16" s="43" t="s">
        <v>91</v>
      </c>
      <c r="H16" s="37">
        <v>30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C17" s="73" t="s">
        <v>92</v>
      </c>
      <c r="D17" s="80"/>
      <c r="E17" s="80"/>
      <c r="F17" s="42"/>
      <c r="G17" s="42" t="s">
        <v>93</v>
      </c>
      <c r="H17" s="75">
        <v>0.14000000000000001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C18" s="73" t="s">
        <v>94</v>
      </c>
      <c r="D18" s="80"/>
      <c r="E18" s="80"/>
      <c r="F18" s="42"/>
      <c r="G18" s="42" t="s">
        <v>95</v>
      </c>
      <c r="H18" s="75">
        <v>0.35</v>
      </c>
      <c r="I18" s="7"/>
      <c r="J18" s="7"/>
      <c r="K18" s="9"/>
      <c r="L18" s="9"/>
      <c r="M18" s="9"/>
      <c r="N18" s="8" t="s">
        <v>8</v>
      </c>
      <c r="O18" s="8" t="s">
        <v>96</v>
      </c>
      <c r="P18" s="93" t="s">
        <v>97</v>
      </c>
      <c r="Q18" s="94"/>
      <c r="R18" s="94" t="s">
        <v>12</v>
      </c>
      <c r="S18" s="94" t="s">
        <v>98</v>
      </c>
      <c r="T18" s="94"/>
      <c r="U18" s="94"/>
      <c r="V18" s="94"/>
      <c r="W18" s="95"/>
      <c r="X18" s="7"/>
      <c r="Y18" s="7"/>
      <c r="Z18" s="7"/>
      <c r="AA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C19" s="73" t="s">
        <v>99</v>
      </c>
      <c r="D19" s="80"/>
      <c r="E19" s="80"/>
      <c r="F19" s="42"/>
      <c r="G19" s="42" t="s">
        <v>74</v>
      </c>
      <c r="H19" s="75">
        <v>0.25</v>
      </c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C20" s="76" t="s">
        <v>100</v>
      </c>
      <c r="D20" s="88"/>
      <c r="E20" s="88"/>
      <c r="F20" s="43"/>
      <c r="G20" s="43" t="s">
        <v>78</v>
      </c>
      <c r="H20" s="78">
        <v>0.88</v>
      </c>
      <c r="I20" s="7"/>
      <c r="J20" s="7"/>
      <c r="K20" s="9"/>
      <c r="L20" s="9"/>
      <c r="M20" s="9"/>
      <c r="N20" s="8" t="s">
        <v>8</v>
      </c>
      <c r="O20" s="7"/>
      <c r="P20" s="7" t="s">
        <v>101</v>
      </c>
      <c r="Q20" s="7"/>
      <c r="R20" s="21" t="s">
        <v>12</v>
      </c>
      <c r="S20" s="8" t="s">
        <v>102</v>
      </c>
      <c r="T20" s="8" t="s">
        <v>43</v>
      </c>
      <c r="U20" s="8" t="s">
        <v>103</v>
      </c>
      <c r="V20" s="8" t="s">
        <v>17</v>
      </c>
      <c r="W20" s="8" t="s">
        <v>95</v>
      </c>
      <c r="X20" s="96" t="s">
        <v>76</v>
      </c>
      <c r="Y20" s="96" t="s">
        <v>104</v>
      </c>
      <c r="Z20" s="8" t="s">
        <v>93</v>
      </c>
      <c r="AA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21" t="s">
        <v>12</v>
      </c>
      <c r="S21" s="8">
        <f>H15</f>
        <v>50</v>
      </c>
      <c r="T21" s="8" t="s">
        <v>43</v>
      </c>
      <c r="U21" s="8" t="s">
        <v>103</v>
      </c>
      <c r="V21" s="8" t="s">
        <v>17</v>
      </c>
      <c r="W21" s="90">
        <f>H18</f>
        <v>0.35</v>
      </c>
      <c r="X21" s="96" t="s">
        <v>76</v>
      </c>
      <c r="Y21" s="96" t="s">
        <v>104</v>
      </c>
      <c r="Z21" s="90">
        <f>H17</f>
        <v>0.14000000000000001</v>
      </c>
      <c r="AA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97" t="s">
        <v>101</v>
      </c>
      <c r="Q22" s="97"/>
      <c r="R22" s="21" t="s">
        <v>12</v>
      </c>
      <c r="S22" s="98">
        <f>S21*(1-W21)/Z21</f>
        <v>232.14285714285711</v>
      </c>
      <c r="T22" s="7" t="s">
        <v>105</v>
      </c>
      <c r="U22" s="7"/>
      <c r="V22" s="7"/>
      <c r="W22" s="7"/>
      <c r="X22" s="7"/>
      <c r="Y22" s="7"/>
      <c r="Z22" s="7"/>
      <c r="AA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5" t="s">
        <v>11</v>
      </c>
      <c r="B23" s="21" t="s">
        <v>68</v>
      </c>
      <c r="C23" s="7" t="s">
        <v>106</v>
      </c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61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B24" s="21" t="s">
        <v>96</v>
      </c>
      <c r="C24" s="7" t="s">
        <v>107</v>
      </c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B25" s="21" t="s">
        <v>108</v>
      </c>
      <c r="C25" s="7" t="s">
        <v>109</v>
      </c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8" t="s">
        <v>108</v>
      </c>
      <c r="P26" s="5" t="s">
        <v>110</v>
      </c>
      <c r="R26" s="6" t="s">
        <v>111</v>
      </c>
      <c r="AA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AA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99" t="s">
        <v>112</v>
      </c>
      <c r="Q28" s="100"/>
      <c r="R28" s="101" t="s">
        <v>113</v>
      </c>
      <c r="S28" s="100" t="s">
        <v>97</v>
      </c>
      <c r="T28" s="100"/>
      <c r="U28" s="102" t="s">
        <v>114</v>
      </c>
      <c r="V28" s="85" t="s">
        <v>115</v>
      </c>
      <c r="W28" s="85"/>
      <c r="X28" s="85"/>
      <c r="Y28" s="85"/>
      <c r="Z28" s="70"/>
      <c r="AA28" s="7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103" t="s">
        <v>112</v>
      </c>
      <c r="Q29" s="104"/>
      <c r="R29" s="105" t="s">
        <v>116</v>
      </c>
      <c r="S29" s="104" t="s">
        <v>97</v>
      </c>
      <c r="T29" s="104"/>
      <c r="U29" s="106" t="s">
        <v>114</v>
      </c>
      <c r="V29" s="80" t="s">
        <v>117</v>
      </c>
      <c r="W29" s="80"/>
      <c r="X29" s="80"/>
      <c r="Y29" s="80"/>
      <c r="Z29" s="42"/>
      <c r="AA29" s="7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07" t="s">
        <v>112</v>
      </c>
      <c r="Q30" s="108"/>
      <c r="R30" s="109" t="s">
        <v>12</v>
      </c>
      <c r="S30" s="108" t="s">
        <v>97</v>
      </c>
      <c r="T30" s="108"/>
      <c r="U30" s="110" t="s">
        <v>114</v>
      </c>
      <c r="V30" s="88" t="s">
        <v>118</v>
      </c>
      <c r="W30" s="88"/>
      <c r="X30" s="88"/>
      <c r="Y30" s="88"/>
      <c r="Z30" s="43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17" t="s">
        <v>119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111" t="s">
        <v>112</v>
      </c>
      <c r="Q34" s="111"/>
      <c r="R34" s="35" t="s">
        <v>12</v>
      </c>
      <c r="S34" s="112">
        <f>S15-H16</f>
        <v>209.60000000000002</v>
      </c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" t="s">
        <v>120</v>
      </c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113" t="s">
        <v>121</v>
      </c>
      <c r="Q38" s="114"/>
      <c r="R38" s="115" t="str">
        <f>IF(S15-H16&gt;S22,"&gt;",IF(S15-H16&lt;S22,"&lt;","="))</f>
        <v>&lt;</v>
      </c>
      <c r="S38" s="114" t="s">
        <v>97</v>
      </c>
      <c r="T38" s="114"/>
      <c r="U38" s="116" t="s">
        <v>114</v>
      </c>
      <c r="V38" s="117" t="str">
        <f>IF(S15-H16&gt;S22,"liquidate",IF(S15-H16&lt;S22,"continue operations","doesn't matter"))</f>
        <v>continue operations</v>
      </c>
      <c r="W38" s="118"/>
      <c r="X38" s="7" t="s">
        <v>122</v>
      </c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Z39" s="7"/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N40" s="8" t="s">
        <v>8</v>
      </c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N41" s="8" t="s">
        <v>8</v>
      </c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 s="8" t="s">
        <v>8</v>
      </c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N43" s="8" t="s">
        <v>8</v>
      </c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N44" s="8" t="s">
        <v>8</v>
      </c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N45" s="8" t="s">
        <v>8</v>
      </c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 s="8" t="s">
        <v>8</v>
      </c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 s="8" t="s">
        <v>8</v>
      </c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 s="8" t="s">
        <v>8</v>
      </c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1.28515625" style="6" customWidth="1"/>
    <col min="4" max="8" width="9.140625" style="6" customWidth="1"/>
    <col min="9" max="9" width="9.140625" style="6"/>
    <col min="10" max="13" width="9.140625" style="6" customWidth="1"/>
    <col min="14" max="14" width="9.140625" style="6"/>
    <col min="15" max="15" width="11.28515625" style="6" customWidth="1"/>
    <col min="16" max="16384" width="9.140625" style="6"/>
  </cols>
  <sheetData>
    <row r="1" spans="1:40" ht="15" customHeight="1" x14ac:dyDescent="0.25">
      <c r="A1" s="5" t="s">
        <v>3</v>
      </c>
      <c r="C1" t="s">
        <v>123</v>
      </c>
      <c r="D1" s="20"/>
      <c r="M1" s="14" t="s">
        <v>7</v>
      </c>
      <c r="N1" s="21" t="s">
        <v>8</v>
      </c>
      <c r="O1"/>
      <c r="P1"/>
      <c r="Q1"/>
      <c r="AB1" s="21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15" t="s">
        <v>124</v>
      </c>
      <c r="N2" s="21" t="s">
        <v>8</v>
      </c>
      <c r="O2"/>
      <c r="P2"/>
      <c r="Q2"/>
      <c r="R2"/>
      <c r="S2"/>
      <c r="T2"/>
      <c r="AB2" s="21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125</v>
      </c>
      <c r="N3" s="21" t="s">
        <v>8</v>
      </c>
      <c r="AB3" s="21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6</v>
      </c>
      <c r="B5" s="9"/>
      <c r="C5" s="6" t="s">
        <v>126</v>
      </c>
      <c r="G5" s="9"/>
      <c r="H5" s="9"/>
      <c r="I5" s="9"/>
      <c r="J5" s="9"/>
      <c r="K5" s="9"/>
      <c r="L5" s="9"/>
      <c r="M5" s="9"/>
      <c r="N5" s="8" t="s">
        <v>8</v>
      </c>
      <c r="O5" s="62"/>
      <c r="P5" s="119"/>
      <c r="Q5" s="28"/>
      <c r="R5" s="28"/>
      <c r="S5" s="28"/>
      <c r="T5" s="120" t="s">
        <v>127</v>
      </c>
      <c r="U5" s="9"/>
      <c r="V5" s="9"/>
      <c r="W5" s="9"/>
      <c r="X5" s="9"/>
      <c r="Y5" s="9"/>
      <c r="Z5" s="9"/>
      <c r="AA5" s="9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2"/>
      <c r="B6" s="9"/>
      <c r="G6" s="9"/>
      <c r="H6" s="9"/>
      <c r="I6" s="9"/>
      <c r="N6" s="8" t="s">
        <v>8</v>
      </c>
      <c r="O6" s="121" t="s">
        <v>128</v>
      </c>
      <c r="P6" s="122" t="s">
        <v>129</v>
      </c>
      <c r="Q6" s="26"/>
      <c r="R6" s="26"/>
      <c r="S6" s="26"/>
      <c r="T6" s="121" t="s">
        <v>24</v>
      </c>
      <c r="U6" s="9"/>
      <c r="V6" s="9"/>
      <c r="W6" s="9"/>
      <c r="X6" s="9"/>
      <c r="Y6" s="9"/>
      <c r="Z6" s="9"/>
      <c r="AA6" s="9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9"/>
      <c r="B7" s="9"/>
      <c r="C7" s="62"/>
      <c r="D7" s="123" t="s">
        <v>130</v>
      </c>
      <c r="E7" s="123" t="s">
        <v>131</v>
      </c>
      <c r="F7" s="124" t="s">
        <v>132</v>
      </c>
      <c r="G7" s="9"/>
      <c r="N7" s="8" t="s">
        <v>8</v>
      </c>
      <c r="O7" s="125">
        <v>1</v>
      </c>
      <c r="P7" s="126" t="s">
        <v>133</v>
      </c>
      <c r="Q7" s="25"/>
      <c r="R7" s="25"/>
      <c r="S7" s="25"/>
      <c r="T7" s="57">
        <f>D9</f>
        <v>40000</v>
      </c>
      <c r="U7" s="9"/>
      <c r="V7" s="9"/>
      <c r="W7" s="9"/>
      <c r="X7" s="9"/>
      <c r="Y7" s="9"/>
      <c r="Z7" s="9"/>
      <c r="AA7" s="9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9"/>
      <c r="B8" s="9"/>
      <c r="C8" s="121" t="s">
        <v>128</v>
      </c>
      <c r="D8" s="58" t="s">
        <v>134</v>
      </c>
      <c r="E8" s="58" t="s">
        <v>135</v>
      </c>
      <c r="F8" s="127" t="s">
        <v>134</v>
      </c>
      <c r="G8" s="9"/>
      <c r="N8" s="8" t="s">
        <v>8</v>
      </c>
      <c r="O8" s="125">
        <v>3</v>
      </c>
      <c r="P8" s="126" t="s">
        <v>136</v>
      </c>
      <c r="Q8" s="25"/>
      <c r="R8" s="25"/>
      <c r="S8" s="25"/>
      <c r="T8" s="57">
        <f>MIN(D10,E10)</f>
        <v>140000</v>
      </c>
      <c r="U8" s="9"/>
      <c r="V8" s="9"/>
      <c r="W8" s="9"/>
      <c r="X8" s="9"/>
      <c r="Y8" s="9"/>
      <c r="Z8" s="9"/>
      <c r="AA8" s="9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125">
        <v>1</v>
      </c>
      <c r="D9" s="23">
        <v>40000</v>
      </c>
      <c r="E9" s="23">
        <v>34000</v>
      </c>
      <c r="F9" s="24">
        <v>40000</v>
      </c>
      <c r="G9" s="9"/>
      <c r="N9" s="8" t="s">
        <v>8</v>
      </c>
      <c r="O9" s="121">
        <v>6</v>
      </c>
      <c r="P9" s="122" t="s">
        <v>136</v>
      </c>
      <c r="Q9" s="26"/>
      <c r="R9" s="26"/>
      <c r="S9" s="26"/>
      <c r="T9" s="60">
        <f>MIN(D11,E11)</f>
        <v>16000</v>
      </c>
      <c r="U9" s="9"/>
      <c r="V9" s="9"/>
      <c r="W9" s="9"/>
      <c r="X9" s="9"/>
      <c r="Y9" s="9"/>
      <c r="Z9" s="9"/>
      <c r="AA9" s="9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125">
        <v>3</v>
      </c>
      <c r="D10" s="23">
        <v>150000</v>
      </c>
      <c r="E10" s="23">
        <v>140000</v>
      </c>
      <c r="F10" s="24">
        <v>134000</v>
      </c>
      <c r="G10" s="9"/>
      <c r="N10" s="8" t="s">
        <v>8</v>
      </c>
      <c r="O10" s="9"/>
      <c r="P10" s="9"/>
      <c r="Q10" s="9"/>
      <c r="R10" s="9"/>
      <c r="S10" s="9"/>
      <c r="T10" s="128">
        <f>SUM(T7:T9)</f>
        <v>196000</v>
      </c>
      <c r="U10" s="129" t="s">
        <v>137</v>
      </c>
      <c r="V10" s="61"/>
      <c r="W10" s="9"/>
      <c r="X10" s="9"/>
      <c r="Y10" s="9"/>
      <c r="Z10" s="9"/>
      <c r="AA10" s="9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121">
        <v>6</v>
      </c>
      <c r="D11" s="59">
        <v>16000</v>
      </c>
      <c r="E11" s="59">
        <v>16000</v>
      </c>
      <c r="F11" s="27">
        <v>14000</v>
      </c>
      <c r="G11" s="9"/>
      <c r="N11" s="8" t="s">
        <v>8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N12" s="8" t="s">
        <v>8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N13" s="8" t="s">
        <v>8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17" t="s">
        <v>11</v>
      </c>
      <c r="B14" s="9"/>
      <c r="C14" s="9" t="s">
        <v>138</v>
      </c>
      <c r="D14" s="9"/>
      <c r="E14" s="9"/>
      <c r="F14" s="9"/>
      <c r="G14" s="9"/>
      <c r="H14" s="9"/>
      <c r="I14" s="9"/>
      <c r="N14" s="8" t="s">
        <v>8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N15" s="8" t="s">
        <v>8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N16" s="8" t="s">
        <v>8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N17" s="8" t="s">
        <v>8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N18" s="8" t="s">
        <v>8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N19" s="8" t="s">
        <v>8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N20" s="8" t="s">
        <v>8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N21" s="8" t="s">
        <v>8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N22" s="8" t="s">
        <v>8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16"/>
      <c r="K23" s="16"/>
      <c r="L23" s="16"/>
      <c r="M23" s="16"/>
      <c r="N23" s="8" t="s">
        <v>8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16"/>
      <c r="K24" s="16"/>
      <c r="L24" s="16"/>
      <c r="M24" s="16"/>
      <c r="N24" s="8" t="s">
        <v>8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16"/>
      <c r="K25" s="16"/>
      <c r="L25" s="16"/>
      <c r="M25" s="16"/>
      <c r="N25" s="8" t="s">
        <v>8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16"/>
      <c r="K26" s="16"/>
      <c r="L26" s="16"/>
      <c r="M26" s="16"/>
      <c r="N26" s="8" t="s">
        <v>8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16"/>
      <c r="K27" s="16"/>
      <c r="L27" s="16"/>
      <c r="M27" s="16"/>
      <c r="N27" s="8" t="s">
        <v>8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16"/>
      <c r="K28" s="16"/>
      <c r="L28" s="16"/>
      <c r="M28" s="16"/>
      <c r="N28" s="8" t="s">
        <v>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16"/>
      <c r="K29" s="16"/>
      <c r="L29" s="16"/>
      <c r="M29" s="16"/>
      <c r="N29" s="8" t="s">
        <v>8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16"/>
      <c r="K30" s="16"/>
      <c r="L30" s="16"/>
      <c r="M30" s="16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16"/>
      <c r="K31" s="16"/>
      <c r="L31" s="16"/>
      <c r="M31" s="16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16"/>
      <c r="K32" s="16"/>
      <c r="L32" s="16"/>
      <c r="M32" s="16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16"/>
      <c r="K33" s="16"/>
      <c r="L33" s="16"/>
      <c r="M33" s="16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16"/>
      <c r="K34" s="16"/>
      <c r="L34" s="16"/>
      <c r="M34" s="16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16"/>
      <c r="K35" s="16"/>
      <c r="L35" s="16"/>
      <c r="M35" s="16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16"/>
      <c r="K36" s="16"/>
      <c r="L36" s="16"/>
      <c r="M36" s="16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16"/>
      <c r="K37" s="16"/>
      <c r="L37" s="16"/>
      <c r="M37" s="16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16"/>
      <c r="K38" s="16"/>
      <c r="L38" s="16"/>
      <c r="M38" s="16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6"/>
      <c r="K39" s="16"/>
      <c r="L39" s="16"/>
      <c r="M39" s="16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16"/>
      <c r="K40" s="16"/>
      <c r="L40" s="16"/>
      <c r="M40" s="16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16"/>
      <c r="K41" s="16"/>
      <c r="L41" s="16"/>
      <c r="M41" s="16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16"/>
      <c r="K42" s="16"/>
      <c r="L42" s="16"/>
      <c r="M42" s="16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16"/>
      <c r="K43" s="16"/>
      <c r="L43" s="16"/>
      <c r="M43" s="16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16"/>
      <c r="K44" s="16"/>
      <c r="L44" s="16"/>
      <c r="M44" s="16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16"/>
      <c r="K45" s="16"/>
      <c r="L45" s="16"/>
      <c r="M45" s="16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16"/>
      <c r="K46" s="16"/>
      <c r="L46" s="16"/>
      <c r="M46" s="16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6"/>
      <c r="K47" s="16"/>
      <c r="L47" s="16"/>
      <c r="M47" s="16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16"/>
      <c r="K48" s="16"/>
      <c r="L48" s="16"/>
      <c r="M48" s="16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16"/>
      <c r="K49" s="16"/>
      <c r="L49" s="16"/>
      <c r="M49" s="16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16"/>
      <c r="K50" s="16"/>
      <c r="L50" s="16"/>
      <c r="M50" s="16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16"/>
      <c r="K51" s="16"/>
      <c r="L51" s="16"/>
      <c r="M51" s="16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16"/>
      <c r="K52" s="16"/>
      <c r="L52" s="16"/>
      <c r="M52" s="16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16"/>
      <c r="K53" s="16"/>
      <c r="L53" s="16"/>
      <c r="M53" s="16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16"/>
      <c r="K54" s="16"/>
      <c r="L54" s="16"/>
      <c r="M54" s="16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16"/>
      <c r="K55" s="16"/>
      <c r="L55" s="16"/>
      <c r="M55" s="16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16"/>
      <c r="K56" s="16"/>
      <c r="L56" s="16"/>
      <c r="M56" s="16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16"/>
      <c r="K57" s="16"/>
      <c r="L57" s="16"/>
      <c r="M57" s="16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16"/>
      <c r="K58" s="16"/>
      <c r="L58" s="16"/>
      <c r="M58" s="16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6"/>
      <c r="K59" s="16"/>
      <c r="L59" s="16"/>
      <c r="M59" s="16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139</v>
      </c>
      <c r="D1" s="20"/>
      <c r="E1" s="20"/>
      <c r="M1" s="14" t="s">
        <v>7</v>
      </c>
      <c r="N1" s="21" t="s">
        <v>8</v>
      </c>
      <c r="Y1" s="7"/>
      <c r="Z1" s="7"/>
      <c r="AA1" s="7"/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140</v>
      </c>
      <c r="N2" s="21" t="s">
        <v>8</v>
      </c>
      <c r="Y2" s="7"/>
      <c r="Z2" s="7"/>
      <c r="AA2" s="7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34</v>
      </c>
      <c r="N3" s="21" t="s">
        <v>8</v>
      </c>
      <c r="O3" s="130" t="s">
        <v>141</v>
      </c>
      <c r="P3" s="6" t="s">
        <v>142</v>
      </c>
      <c r="Y3" s="7"/>
      <c r="Z3" s="7"/>
      <c r="AA3" s="7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11</v>
      </c>
      <c r="C5" s="7" t="s">
        <v>143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144</v>
      </c>
      <c r="Q5" s="7"/>
      <c r="R5" s="7"/>
      <c r="S5" s="7"/>
      <c r="T5" s="7"/>
      <c r="U5" s="131" t="s">
        <v>145</v>
      </c>
      <c r="V5" s="132" t="s">
        <v>146</v>
      </c>
      <c r="W5" s="7"/>
      <c r="X5" s="7"/>
      <c r="Y5" s="7"/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8" t="s">
        <v>68</v>
      </c>
      <c r="D6" s="7" t="s">
        <v>147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148</v>
      </c>
      <c r="Q6" s="7"/>
      <c r="R6" s="8" t="s">
        <v>113</v>
      </c>
      <c r="S6" s="8">
        <v>200</v>
      </c>
      <c r="T6" s="7" t="s">
        <v>149</v>
      </c>
      <c r="U6" s="131" t="s">
        <v>145</v>
      </c>
      <c r="V6" s="8" t="str">
        <f>IF(E11&gt;S6,"yes","no")</f>
        <v>yes</v>
      </c>
      <c r="W6" s="7"/>
      <c r="X6" s="7"/>
      <c r="Y6" s="7"/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/>
      <c r="C7" s="8" t="s">
        <v>96</v>
      </c>
      <c r="D7" s="7" t="s">
        <v>150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5" t="s">
        <v>6</v>
      </c>
      <c r="B9" s="9"/>
      <c r="C9" s="7" t="s">
        <v>151</v>
      </c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7" t="s">
        <v>152</v>
      </c>
      <c r="Q9" s="7"/>
      <c r="R9" s="7"/>
      <c r="S9" s="8" t="str">
        <f>IF(AND(V5="yes",V6="yes"),"have","have not")</f>
        <v>have</v>
      </c>
      <c r="T9" s="7" t="s">
        <v>153</v>
      </c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69" t="s">
        <v>154</v>
      </c>
      <c r="D11" s="70"/>
      <c r="E11" s="31">
        <v>41000</v>
      </c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7"/>
      <c r="B12" s="9"/>
      <c r="C12" s="76" t="s">
        <v>155</v>
      </c>
      <c r="D12" s="43"/>
      <c r="E12" s="37">
        <v>205</v>
      </c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133" t="s">
        <v>156</v>
      </c>
      <c r="P12" s="7" t="s">
        <v>157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134" t="s">
        <v>158</v>
      </c>
      <c r="D14" s="135"/>
      <c r="E14" s="136" t="s">
        <v>159</v>
      </c>
      <c r="F14" s="137" t="s">
        <v>160</v>
      </c>
      <c r="G14" s="7" t="s">
        <v>161</v>
      </c>
      <c r="H14" s="7"/>
      <c r="I14" s="7"/>
      <c r="J14" s="7"/>
      <c r="K14" s="7"/>
      <c r="L14" s="7"/>
      <c r="M14" s="9"/>
      <c r="N14" s="8" t="s">
        <v>8</v>
      </c>
      <c r="O14" s="7"/>
      <c r="P14" s="8" t="s">
        <v>162</v>
      </c>
      <c r="Q14" s="8" t="s">
        <v>12</v>
      </c>
      <c r="R14" s="8" t="str">
        <f>IF(S9="have","( loss",0)</f>
        <v>( loss</v>
      </c>
      <c r="S14" s="8" t="str">
        <f>IF(S9="have","-","")</f>
        <v>-</v>
      </c>
      <c r="T14" s="138" t="str">
        <f>IF(S9="have","deduc )","")</f>
        <v>deduc )</v>
      </c>
      <c r="U14" s="8" t="str">
        <f>IF(S9="have","x","")</f>
        <v>x</v>
      </c>
      <c r="V14" s="7" t="str">
        <f>IF(S9="have","( 1.0 - coinsurance % )","")</f>
        <v>( 1.0 - coinsurance % )</v>
      </c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3" t="s">
        <v>163</v>
      </c>
      <c r="D15" s="42"/>
      <c r="E15" s="36">
        <v>27</v>
      </c>
      <c r="F15" s="7"/>
      <c r="G15" s="139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8" t="s">
        <v>12</v>
      </c>
      <c r="R15" s="8" t="str">
        <f>IF(S9="have","( " &amp; E12,0)</f>
        <v>( 205</v>
      </c>
      <c r="S15" s="8" t="str">
        <f>IF(S9="have","-","")</f>
        <v>-</v>
      </c>
      <c r="T15" s="140" t="str">
        <f>IF(S9="have",R21 &amp; " )","")</f>
        <v>25.4 )</v>
      </c>
      <c r="U15" s="8" t="str">
        <f>IF(S9="have","x","")</f>
        <v>x</v>
      </c>
      <c r="V15" s="141" t="str">
        <f>IF(S9="have","80%","")</f>
        <v>80%</v>
      </c>
      <c r="W15" s="7"/>
      <c r="X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3" t="s">
        <v>164</v>
      </c>
      <c r="D16" s="42"/>
      <c r="E16" s="36">
        <v>84</v>
      </c>
      <c r="F16" s="7"/>
      <c r="G16" s="139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8" t="s">
        <v>12</v>
      </c>
      <c r="R16" s="133">
        <f>IF(E12-R21&lt;0,0,IF(S9="have",(E12-R21)*80%,0))</f>
        <v>143.68</v>
      </c>
      <c r="S16" s="142" t="s">
        <v>165</v>
      </c>
      <c r="T16" s="7"/>
      <c r="U16" s="7"/>
      <c r="V16" s="7"/>
      <c r="W16" s="7"/>
      <c r="X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76" t="s">
        <v>166</v>
      </c>
      <c r="D17" s="43"/>
      <c r="E17" s="37">
        <v>43</v>
      </c>
      <c r="F17" s="7"/>
      <c r="G17" s="139"/>
      <c r="H17" s="7"/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17" t="str">
        <f>"side calc for federal deductible:" &amp; IF(S9="have","","  (not relevant because loss-sharing criteria not met)")</f>
        <v>side calc for federal deductible:</v>
      </c>
      <c r="Q18" s="7"/>
      <c r="R18" s="7"/>
      <c r="S18" s="7"/>
      <c r="T18" s="7"/>
      <c r="U18" s="7"/>
      <c r="V18" s="7"/>
      <c r="W18" s="7"/>
      <c r="X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138" t="s">
        <v>167</v>
      </c>
      <c r="Q19" s="8" t="s">
        <v>12</v>
      </c>
      <c r="R19" s="90">
        <v>0.2</v>
      </c>
      <c r="S19" s="8" t="s">
        <v>43</v>
      </c>
      <c r="T19" s="7" t="s">
        <v>168</v>
      </c>
      <c r="U19" s="7"/>
      <c r="V19" s="7"/>
      <c r="W19" s="7"/>
      <c r="X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12</v>
      </c>
      <c r="R20" s="90">
        <v>0.2</v>
      </c>
      <c r="S20" s="8" t="s">
        <v>43</v>
      </c>
      <c r="T20" s="7" t="str">
        <f>"( " &amp; E16 &amp; " + " &amp; E17 &amp; " )"</f>
        <v>( 84 + 43 )</v>
      </c>
      <c r="U20" s="7"/>
      <c r="V20" s="7"/>
      <c r="W20" s="7"/>
      <c r="X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12</v>
      </c>
      <c r="R21" s="140">
        <f>R20*(E16+E17)</f>
        <v>25.400000000000002</v>
      </c>
      <c r="S21" s="143"/>
      <c r="T21" s="7"/>
      <c r="U21" s="7"/>
      <c r="V21" s="7"/>
      <c r="W21" s="7"/>
      <c r="X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132" t="s">
        <v>169</v>
      </c>
      <c r="P23" s="7" t="s">
        <v>170</v>
      </c>
      <c r="Q23" s="7"/>
      <c r="R23" s="7"/>
      <c r="S23" s="7"/>
      <c r="T23" s="7"/>
      <c r="U23" s="7"/>
      <c r="V23" s="7"/>
      <c r="W23" s="7"/>
      <c r="X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171</v>
      </c>
      <c r="Q25" s="8" t="s">
        <v>12</v>
      </c>
      <c r="R25" s="7" t="s">
        <v>172</v>
      </c>
      <c r="S25" s="7"/>
      <c r="T25" s="8" t="s">
        <v>17</v>
      </c>
      <c r="U25" s="7" t="s">
        <v>173</v>
      </c>
      <c r="V25" s="7"/>
      <c r="W25" s="7"/>
      <c r="X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8" t="s">
        <v>12</v>
      </c>
      <c r="R26" s="144">
        <f>E12</f>
        <v>205</v>
      </c>
      <c r="S26" s="7"/>
      <c r="T26" s="8" t="s">
        <v>17</v>
      </c>
      <c r="U26" s="145">
        <f>R16</f>
        <v>143.68</v>
      </c>
      <c r="V26" s="7"/>
      <c r="W26" s="7"/>
      <c r="X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12</v>
      </c>
      <c r="R27" s="146">
        <f>R26-U26</f>
        <v>61.319999999999993</v>
      </c>
      <c r="S27" s="142" t="s">
        <v>174</v>
      </c>
      <c r="T27" s="7"/>
      <c r="U27" s="7"/>
      <c r="V27" s="7"/>
      <c r="W27" s="7"/>
      <c r="X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N28" s="8" t="s">
        <v>8</v>
      </c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N29" s="8" t="s">
        <v>8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N30" s="8" t="s">
        <v>8</v>
      </c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N31" s="8" t="s">
        <v>8</v>
      </c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N32" s="8" t="s">
        <v>8</v>
      </c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4:40" ht="15" customHeight="1" x14ac:dyDescent="0.25">
      <c r="N33" s="8" t="s">
        <v>8</v>
      </c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4:40" ht="15" customHeight="1" x14ac:dyDescent="0.25">
      <c r="N34" s="8" t="s">
        <v>8</v>
      </c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4:40" ht="15" customHeight="1" x14ac:dyDescent="0.25">
      <c r="N35" s="8" t="s">
        <v>8</v>
      </c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4:40" ht="15" customHeight="1" x14ac:dyDescent="0.25">
      <c r="N36" s="8" t="s">
        <v>8</v>
      </c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4:40" ht="15" customHeight="1" x14ac:dyDescent="0.25">
      <c r="N37" s="8" t="s">
        <v>8</v>
      </c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4:40" ht="15" customHeight="1" x14ac:dyDescent="0.25">
      <c r="N38" s="8" t="s">
        <v>8</v>
      </c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4:40" ht="15" customHeight="1" x14ac:dyDescent="0.25">
      <c r="N39" s="8" t="s">
        <v>8</v>
      </c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4:40" ht="15" customHeight="1" x14ac:dyDescent="0.25">
      <c r="N40" s="8" t="s">
        <v>8</v>
      </c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4:40" ht="15" customHeight="1" x14ac:dyDescent="0.25">
      <c r="N41" s="8" t="s">
        <v>8</v>
      </c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4:40" ht="15" customHeight="1" x14ac:dyDescent="0.25">
      <c r="N42" s="8" t="s">
        <v>8</v>
      </c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4:40" ht="15" customHeight="1" x14ac:dyDescent="0.25">
      <c r="N43" s="8" t="s">
        <v>8</v>
      </c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4:40" ht="15" customHeight="1" x14ac:dyDescent="0.25">
      <c r="N44" s="8" t="s">
        <v>8</v>
      </c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4:40" ht="15" customHeight="1" x14ac:dyDescent="0.25">
      <c r="N45" s="8" t="s">
        <v>8</v>
      </c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4:40" ht="15" customHeight="1" x14ac:dyDescent="0.25">
      <c r="N46" s="8" t="s">
        <v>8</v>
      </c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4:40" ht="15" customHeight="1" x14ac:dyDescent="0.25">
      <c r="N47" s="8" t="s">
        <v>8</v>
      </c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4:40" ht="15" customHeight="1" x14ac:dyDescent="0.25">
      <c r="N48" s="8" t="s">
        <v>8</v>
      </c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V6">
    <cfRule type="cellIs" dxfId="15" priority="3" operator="equal">
      <formula>"yes"</formula>
    </cfRule>
    <cfRule type="cellIs" dxfId="14" priority="4" operator="equal">
      <formula>"no"</formula>
    </cfRule>
  </conditionalFormatting>
  <conditionalFormatting sqref="S9">
    <cfRule type="cellIs" dxfId="11" priority="1" operator="equal">
      <formula>"have"</formula>
    </cfRule>
    <cfRule type="cellIs" dxfId="10" priority="2" operator="equal">
      <formula>"have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139</v>
      </c>
      <c r="D1" s="20"/>
      <c r="E1" s="20"/>
      <c r="M1" s="14" t="s">
        <v>7</v>
      </c>
      <c r="N1" s="21" t="s">
        <v>8</v>
      </c>
      <c r="Y1" s="7"/>
      <c r="Z1" s="7"/>
      <c r="AA1" s="7"/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140</v>
      </c>
      <c r="N2" s="21" t="s">
        <v>8</v>
      </c>
      <c r="Y2" s="7"/>
      <c r="Z2" s="7"/>
      <c r="AA2" s="7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34</v>
      </c>
      <c r="N3" s="21" t="s">
        <v>8</v>
      </c>
      <c r="O3" s="130" t="s">
        <v>141</v>
      </c>
      <c r="P3" s="6" t="s">
        <v>142</v>
      </c>
      <c r="Y3" s="7"/>
      <c r="Z3" s="7"/>
      <c r="AA3" s="7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11</v>
      </c>
      <c r="C5" s="7" t="s">
        <v>143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144</v>
      </c>
      <c r="Q5" s="7"/>
      <c r="R5" s="7"/>
      <c r="S5" s="7"/>
      <c r="T5" s="7"/>
      <c r="U5" s="131" t="s">
        <v>145</v>
      </c>
      <c r="V5" s="132" t="s">
        <v>146</v>
      </c>
      <c r="W5" s="7"/>
      <c r="X5" s="7"/>
      <c r="Y5" s="7"/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8" t="s">
        <v>68</v>
      </c>
      <c r="D6" s="7" t="s">
        <v>147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148</v>
      </c>
      <c r="Q6" s="7"/>
      <c r="R6" s="8" t="s">
        <v>113</v>
      </c>
      <c r="S6" s="8">
        <v>200</v>
      </c>
      <c r="T6" s="7" t="s">
        <v>149</v>
      </c>
      <c r="U6" s="131" t="s">
        <v>145</v>
      </c>
      <c r="V6" s="8" t="str">
        <f>IF(E11&gt;S6,"yes","no")</f>
        <v>yes</v>
      </c>
      <c r="W6" s="7"/>
      <c r="X6" s="7"/>
      <c r="Y6" s="7"/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/>
      <c r="C7" s="8" t="s">
        <v>96</v>
      </c>
      <c r="D7" s="7" t="s">
        <v>150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5" t="s">
        <v>6</v>
      </c>
      <c r="B9" s="9"/>
      <c r="C9" s="7" t="s">
        <v>151</v>
      </c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7" t="s">
        <v>152</v>
      </c>
      <c r="Q9" s="7"/>
      <c r="R9" s="7"/>
      <c r="S9" s="8" t="str">
        <f>IF(AND(V5="yes",V6="yes"),"have","have not")</f>
        <v>have</v>
      </c>
      <c r="T9" s="7" t="s">
        <v>153</v>
      </c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69" t="s">
        <v>154</v>
      </c>
      <c r="D11" s="70"/>
      <c r="E11" s="31">
        <v>48000</v>
      </c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7"/>
      <c r="B12" s="9"/>
      <c r="C12" s="76" t="s">
        <v>155</v>
      </c>
      <c r="D12" s="43"/>
      <c r="E12" s="37">
        <v>4</v>
      </c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133" t="s">
        <v>156</v>
      </c>
      <c r="P12" s="7" t="s">
        <v>157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134" t="s">
        <v>158</v>
      </c>
      <c r="D14" s="135"/>
      <c r="E14" s="136" t="s">
        <v>159</v>
      </c>
      <c r="F14" s="137" t="s">
        <v>160</v>
      </c>
      <c r="G14" s="7" t="s">
        <v>161</v>
      </c>
      <c r="H14" s="7"/>
      <c r="I14" s="7"/>
      <c r="J14" s="7"/>
      <c r="K14" s="7"/>
      <c r="L14" s="7"/>
      <c r="M14" s="9"/>
      <c r="N14" s="8" t="s">
        <v>8</v>
      </c>
      <c r="O14" s="7"/>
      <c r="P14" s="8" t="s">
        <v>162</v>
      </c>
      <c r="Q14" s="8" t="s">
        <v>12</v>
      </c>
      <c r="R14" s="8" t="str">
        <f>IF(S9="have","( loss",0)</f>
        <v>( loss</v>
      </c>
      <c r="S14" s="8" t="str">
        <f>IF(S9="have","-","")</f>
        <v>-</v>
      </c>
      <c r="T14" s="138" t="str">
        <f>IF(S9="have","deduc )","")</f>
        <v>deduc )</v>
      </c>
      <c r="U14" s="8" t="str">
        <f>IF(S9="have","x","")</f>
        <v>x</v>
      </c>
      <c r="V14" s="7" t="str">
        <f>IF(S9="have","( 1.0 - coinsurance % )","")</f>
        <v>( 1.0 - coinsurance % )</v>
      </c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3" t="s">
        <v>163</v>
      </c>
      <c r="D15" s="42"/>
      <c r="E15" s="36">
        <v>1</v>
      </c>
      <c r="F15" s="7"/>
      <c r="G15" s="139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8" t="s">
        <v>12</v>
      </c>
      <c r="R15" s="8" t="str">
        <f>IF(S9="have","( " &amp; E12,0)</f>
        <v>( 4</v>
      </c>
      <c r="S15" s="8" t="str">
        <f>IF(S9="have","-","")</f>
        <v>-</v>
      </c>
      <c r="T15" s="140" t="str">
        <f>IF(S9="have",R21 &amp; " )","")</f>
        <v>0.6 )</v>
      </c>
      <c r="U15" s="8" t="str">
        <f>IF(S9="have","x","")</f>
        <v>x</v>
      </c>
      <c r="V15" s="141" t="str">
        <f>IF(S9="have","80%","")</f>
        <v>80%</v>
      </c>
      <c r="W15" s="7"/>
      <c r="X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3" t="s">
        <v>164</v>
      </c>
      <c r="D16" s="42"/>
      <c r="E16" s="36">
        <v>2</v>
      </c>
      <c r="F16" s="7"/>
      <c r="G16" s="139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8" t="s">
        <v>12</v>
      </c>
      <c r="R16" s="133">
        <f>IF(E12-R21&lt;0,0,IF(S9="have",(E12-R21)*80%,0))</f>
        <v>2.72</v>
      </c>
      <c r="S16" s="142" t="s">
        <v>165</v>
      </c>
      <c r="T16" s="7"/>
      <c r="U16" s="7"/>
      <c r="V16" s="7"/>
      <c r="W16" s="7"/>
      <c r="X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76" t="s">
        <v>166</v>
      </c>
      <c r="D17" s="43"/>
      <c r="E17" s="37">
        <v>1</v>
      </c>
      <c r="F17" s="7"/>
      <c r="G17" s="139"/>
      <c r="H17" s="7"/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17" t="str">
        <f>"side calc for federal deductible:" &amp; IF(S9="have","","  (not relevant because loss-sharing criteria not met)")</f>
        <v>side calc for federal deductible:</v>
      </c>
      <c r="Q18" s="7"/>
      <c r="R18" s="7"/>
      <c r="S18" s="7"/>
      <c r="T18" s="7"/>
      <c r="U18" s="7"/>
      <c r="V18" s="7"/>
      <c r="W18" s="7"/>
      <c r="X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138" t="s">
        <v>167</v>
      </c>
      <c r="Q19" s="8" t="s">
        <v>12</v>
      </c>
      <c r="R19" s="90">
        <v>0.2</v>
      </c>
      <c r="S19" s="8" t="s">
        <v>43</v>
      </c>
      <c r="T19" s="7" t="s">
        <v>168</v>
      </c>
      <c r="U19" s="7"/>
      <c r="V19" s="7"/>
      <c r="W19" s="7"/>
      <c r="X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12</v>
      </c>
      <c r="R20" s="90">
        <v>0.2</v>
      </c>
      <c r="S20" s="8" t="s">
        <v>43</v>
      </c>
      <c r="T20" s="7" t="str">
        <f>"( " &amp; E16 &amp; " + " &amp; E17 &amp; " )"</f>
        <v>( 2 + 1 )</v>
      </c>
      <c r="U20" s="7"/>
      <c r="V20" s="7"/>
      <c r="W20" s="7"/>
      <c r="X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12</v>
      </c>
      <c r="R21" s="140">
        <f>R20*(E16+E17)</f>
        <v>0.60000000000000009</v>
      </c>
      <c r="S21" s="143"/>
      <c r="T21" s="7"/>
      <c r="U21" s="7"/>
      <c r="V21" s="7"/>
      <c r="W21" s="7"/>
      <c r="X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132" t="s">
        <v>169</v>
      </c>
      <c r="P23" s="7" t="s">
        <v>170</v>
      </c>
      <c r="Q23" s="7"/>
      <c r="R23" s="7"/>
      <c r="S23" s="7"/>
      <c r="T23" s="7"/>
      <c r="U23" s="7"/>
      <c r="V23" s="7"/>
      <c r="W23" s="7"/>
      <c r="X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171</v>
      </c>
      <c r="Q25" s="8" t="s">
        <v>12</v>
      </c>
      <c r="R25" s="7" t="s">
        <v>172</v>
      </c>
      <c r="S25" s="7"/>
      <c r="T25" s="8" t="s">
        <v>17</v>
      </c>
      <c r="U25" s="7" t="s">
        <v>173</v>
      </c>
      <c r="V25" s="7"/>
      <c r="W25" s="7"/>
      <c r="X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8" t="s">
        <v>12</v>
      </c>
      <c r="R26" s="144">
        <f>E12</f>
        <v>4</v>
      </c>
      <c r="S26" s="7"/>
      <c r="T26" s="8" t="s">
        <v>17</v>
      </c>
      <c r="U26" s="145">
        <f>R16</f>
        <v>2.72</v>
      </c>
      <c r="V26" s="7"/>
      <c r="W26" s="7"/>
      <c r="X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12</v>
      </c>
      <c r="R27" s="146">
        <f>R26-U26</f>
        <v>1.2799999999999998</v>
      </c>
      <c r="S27" s="142" t="s">
        <v>174</v>
      </c>
      <c r="T27" s="7"/>
      <c r="U27" s="7"/>
      <c r="V27" s="7"/>
      <c r="W27" s="7"/>
      <c r="X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N28" s="8" t="s">
        <v>8</v>
      </c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N29" s="8" t="s">
        <v>8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N30" s="8" t="s">
        <v>8</v>
      </c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N31" s="8" t="s">
        <v>8</v>
      </c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N32" s="8" t="s">
        <v>8</v>
      </c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4:40" ht="15" customHeight="1" x14ac:dyDescent="0.25">
      <c r="N33" s="8" t="s">
        <v>8</v>
      </c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4:40" ht="15" customHeight="1" x14ac:dyDescent="0.25">
      <c r="N34" s="8" t="s">
        <v>8</v>
      </c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4:40" ht="15" customHeight="1" x14ac:dyDescent="0.25">
      <c r="N35" s="8" t="s">
        <v>8</v>
      </c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4:40" ht="15" customHeight="1" x14ac:dyDescent="0.25">
      <c r="N36" s="8" t="s">
        <v>8</v>
      </c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4:40" ht="15" customHeight="1" x14ac:dyDescent="0.25">
      <c r="N37" s="8" t="s">
        <v>8</v>
      </c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4:40" ht="15" customHeight="1" x14ac:dyDescent="0.25">
      <c r="N38" s="8" t="s">
        <v>8</v>
      </c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4:40" ht="15" customHeight="1" x14ac:dyDescent="0.25">
      <c r="N39" s="8" t="s">
        <v>8</v>
      </c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4:40" ht="15" customHeight="1" x14ac:dyDescent="0.25">
      <c r="N40" s="8" t="s">
        <v>8</v>
      </c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4:40" ht="15" customHeight="1" x14ac:dyDescent="0.25">
      <c r="N41" s="8" t="s">
        <v>8</v>
      </c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4:40" ht="15" customHeight="1" x14ac:dyDescent="0.25">
      <c r="N42" s="8" t="s">
        <v>8</v>
      </c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4:40" ht="15" customHeight="1" x14ac:dyDescent="0.25">
      <c r="N43" s="8" t="s">
        <v>8</v>
      </c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4:40" ht="15" customHeight="1" x14ac:dyDescent="0.25">
      <c r="N44" s="8" t="s">
        <v>8</v>
      </c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4:40" ht="15" customHeight="1" x14ac:dyDescent="0.25">
      <c r="N45" s="8" t="s">
        <v>8</v>
      </c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4:40" ht="15" customHeight="1" x14ac:dyDescent="0.25">
      <c r="N46" s="8" t="s">
        <v>8</v>
      </c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4:40" ht="15" customHeight="1" x14ac:dyDescent="0.25">
      <c r="N47" s="8" t="s">
        <v>8</v>
      </c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4:40" ht="15" customHeight="1" x14ac:dyDescent="0.25">
      <c r="N48" s="8" t="s">
        <v>8</v>
      </c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V6">
    <cfRule type="cellIs" dxfId="7" priority="3" operator="equal">
      <formula>"yes"</formula>
    </cfRule>
    <cfRule type="cellIs" dxfId="6" priority="4" operator="equal">
      <formula>"no"</formula>
    </cfRule>
  </conditionalFormatting>
  <conditionalFormatting sqref="S9">
    <cfRule type="cellIs" dxfId="3" priority="1" operator="equal">
      <formula>"have"</formula>
    </cfRule>
    <cfRule type="cellIs" dxfId="2" priority="2" operator="equal">
      <formula>"have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Margin</vt:lpstr>
      <vt:lpstr>Capital 1</vt:lpstr>
      <vt:lpstr>Capital 2</vt:lpstr>
      <vt:lpstr>Bonds</vt:lpstr>
      <vt:lpstr>TRIA 1</vt:lpstr>
      <vt:lpstr>TRIA 2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2023-03-18T20:31:53Z</dcterms:modified>
</cp:coreProperties>
</file>