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BC Ratio" sheetId="7" r:id="rId2"/>
    <sheet name="RBC Charges" sheetId="5" r:id="rId3"/>
    <sheet name="R1" sheetId="8" r:id="rId4"/>
    <sheet name="R2" sheetId="9" r:id="rId5"/>
    <sheet name="R3" sheetId="10" r:id="rId6"/>
    <sheet name="R4" sheetId="11" r:id="rId7"/>
    <sheet name="R5" sheetId="12" r:id="rId8"/>
    <sheet name="Rcat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2" l="1"/>
  <c r="Y49" i="12"/>
  <c r="V49" i="12"/>
  <c r="T38" i="12"/>
  <c r="R39" i="12" s="1"/>
  <c r="T34" i="12"/>
  <c r="R35" i="12" s="1"/>
  <c r="AA22" i="12"/>
  <c r="Y22" i="12"/>
  <c r="S22" i="12"/>
  <c r="V19" i="12"/>
  <c r="T19" i="12"/>
  <c r="Q19" i="12"/>
  <c r="Q20" i="12" s="1"/>
  <c r="S15" i="12"/>
  <c r="W11" i="12"/>
  <c r="W10" i="12"/>
  <c r="W22" i="12" s="1"/>
  <c r="T32" i="11"/>
  <c r="R33" i="11" s="1"/>
  <c r="AA21" i="11"/>
  <c r="Y21" i="11"/>
  <c r="T18" i="11"/>
  <c r="T36" i="11"/>
  <c r="R37" i="11" s="1"/>
  <c r="Z54" i="11"/>
  <c r="Q18" i="11"/>
  <c r="W10" i="11"/>
  <c r="W21" i="11" s="1"/>
  <c r="V18" i="11"/>
  <c r="X20" i="10"/>
  <c r="U16" i="10"/>
  <c r="U23" i="10" s="1"/>
  <c r="Y13" i="10"/>
  <c r="Y12" i="10"/>
  <c r="W13" i="10"/>
  <c r="Y11" i="10"/>
  <c r="U12" i="10"/>
  <c r="Y10" i="10"/>
  <c r="U11" i="10"/>
  <c r="Y9" i="10"/>
  <c r="W9" i="10"/>
  <c r="U10" i="10"/>
  <c r="U9" i="10"/>
  <c r="S56" i="8"/>
  <c r="S55" i="8"/>
  <c r="AG43" i="8"/>
  <c r="AF43" i="8"/>
  <c r="AD43" i="8"/>
  <c r="AG42" i="8"/>
  <c r="AF42" i="8"/>
  <c r="AD42" i="8"/>
  <c r="AG41" i="8"/>
  <c r="AF41" i="8"/>
  <c r="AD41" i="8"/>
  <c r="AE41" i="8" s="1"/>
  <c r="AG40" i="8"/>
  <c r="AF40" i="8"/>
  <c r="AD40" i="8"/>
  <c r="AG39" i="8"/>
  <c r="AF39" i="8"/>
  <c r="AD39" i="8"/>
  <c r="AG38" i="8"/>
  <c r="AF38" i="8"/>
  <c r="AD38" i="8"/>
  <c r="AG37" i="8"/>
  <c r="AF37" i="8"/>
  <c r="AD37" i="8"/>
  <c r="AG36" i="8"/>
  <c r="AF36" i="8"/>
  <c r="AD36" i="8"/>
  <c r="AG35" i="8"/>
  <c r="AF35" i="8"/>
  <c r="AD35" i="8"/>
  <c r="AG34" i="8"/>
  <c r="AF34" i="8"/>
  <c r="AD34" i="8"/>
  <c r="AG33" i="8"/>
  <c r="AF33" i="8"/>
  <c r="AD33" i="8"/>
  <c r="AE33" i="8" s="1"/>
  <c r="AG32" i="8"/>
  <c r="AF32" i="8"/>
  <c r="AD32" i="8"/>
  <c r="AE32" i="8" s="1"/>
  <c r="AG31" i="8"/>
  <c r="AF31" i="8"/>
  <c r="AD31" i="8"/>
  <c r="AE31" i="8" s="1"/>
  <c r="AG30" i="8"/>
  <c r="AF30" i="8"/>
  <c r="AD30" i="8"/>
  <c r="AG29" i="8"/>
  <c r="AF29" i="8"/>
  <c r="AD29" i="8"/>
  <c r="S15" i="8"/>
  <c r="S19" i="8"/>
  <c r="T30" i="5"/>
  <c r="T29" i="5"/>
  <c r="T35" i="5" s="1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R8" i="7"/>
  <c r="R12" i="13" l="1"/>
  <c r="R50" i="12"/>
  <c r="W54" i="12" s="1"/>
  <c r="W9" i="12"/>
  <c r="U22" i="12" s="1"/>
  <c r="T30" i="12"/>
  <c r="Q19" i="11"/>
  <c r="T28" i="11"/>
  <c r="V47" i="11"/>
  <c r="Y47" i="11"/>
  <c r="S14" i="11"/>
  <c r="W9" i="11" s="1"/>
  <c r="X54" i="11"/>
  <c r="W12" i="10"/>
  <c r="W11" i="10"/>
  <c r="W10" i="10"/>
  <c r="U13" i="10"/>
  <c r="U14" i="10" s="1"/>
  <c r="AH41" i="8"/>
  <c r="AI41" i="8" s="1"/>
  <c r="Q38" i="9"/>
  <c r="S31" i="9" s="1"/>
  <c r="Q35" i="9"/>
  <c r="Q31" i="9" s="1"/>
  <c r="AG44" i="8"/>
  <c r="AH32" i="8"/>
  <c r="AI32" i="8" s="1"/>
  <c r="S17" i="8"/>
  <c r="AH31" i="8"/>
  <c r="AI31" i="8" s="1"/>
  <c r="AH33" i="8"/>
  <c r="AI33" i="8" s="1"/>
  <c r="AD44" i="8"/>
  <c r="AE29" i="8"/>
  <c r="AE38" i="8"/>
  <c r="AH38" i="8" s="1"/>
  <c r="AF44" i="8"/>
  <c r="AE34" i="8"/>
  <c r="AH34" i="8" s="1"/>
  <c r="AE36" i="8"/>
  <c r="AH36" i="8" s="1"/>
  <c r="AI36" i="8" s="1"/>
  <c r="P34" i="8"/>
  <c r="Q38" i="8"/>
  <c r="S38" i="8" s="1"/>
  <c r="Q36" i="8"/>
  <c r="S36" i="8" s="1"/>
  <c r="S23" i="8"/>
  <c r="S24" i="8"/>
  <c r="S22" i="8"/>
  <c r="S12" i="8"/>
  <c r="S13" i="8"/>
  <c r="S20" i="8"/>
  <c r="S18" i="8"/>
  <c r="S14" i="8"/>
  <c r="S21" i="8"/>
  <c r="Q35" i="8"/>
  <c r="Q37" i="8"/>
  <c r="S37" i="8" s="1"/>
  <c r="AE42" i="8"/>
  <c r="AH42" i="8" s="1"/>
  <c r="AE43" i="8"/>
  <c r="AH43" i="8" s="1"/>
  <c r="AE30" i="8"/>
  <c r="AE35" i="8"/>
  <c r="AE37" i="8"/>
  <c r="AE39" i="8"/>
  <c r="AH39" i="8" s="1"/>
  <c r="AI39" i="8" s="1"/>
  <c r="AE40" i="8"/>
  <c r="AH40" i="8" s="1"/>
  <c r="X19" i="5"/>
  <c r="Z19" i="5"/>
  <c r="Y19" i="5"/>
  <c r="W19" i="5"/>
  <c r="V19" i="5"/>
  <c r="T21" i="5"/>
  <c r="U19" i="5"/>
  <c r="R5" i="7"/>
  <c r="R6" i="7" s="1"/>
  <c r="P10" i="7" s="1"/>
  <c r="S23" i="12" l="1"/>
  <c r="R48" i="11"/>
  <c r="V54" i="11" s="1"/>
  <c r="U22" i="11"/>
  <c r="U21" i="11"/>
  <c r="X21" i="10"/>
  <c r="Q5" i="10"/>
  <c r="AI42" i="8"/>
  <c r="S12" i="9"/>
  <c r="Q9" i="9"/>
  <c r="Q5" i="9" s="1"/>
  <c r="Q28" i="9"/>
  <c r="U5" i="9" s="1"/>
  <c r="Q32" i="9"/>
  <c r="S2" i="9" s="1"/>
  <c r="S25" i="8"/>
  <c r="T30" i="8" s="1"/>
  <c r="AI43" i="8"/>
  <c r="AI34" i="8"/>
  <c r="AH35" i="8"/>
  <c r="AI35" i="8" s="1"/>
  <c r="AE44" i="8"/>
  <c r="AH29" i="8"/>
  <c r="AI29" i="8" s="1"/>
  <c r="AH37" i="8"/>
  <c r="AI37" i="8" s="1"/>
  <c r="AI38" i="8"/>
  <c r="AI40" i="8"/>
  <c r="AH30" i="8"/>
  <c r="AI30" i="8" s="1"/>
  <c r="T9" i="8"/>
  <c r="Q3" i="8" s="1"/>
  <c r="Q39" i="8"/>
  <c r="T41" i="8" s="1"/>
  <c r="S35" i="8"/>
  <c r="S39" i="8" s="1"/>
  <c r="R41" i="8" s="1"/>
  <c r="T25" i="5"/>
  <c r="T22" i="5"/>
  <c r="T23" i="5" s="1"/>
  <c r="Q18" i="7"/>
  <c r="P12" i="7"/>
  <c r="Q15" i="7" s="1"/>
  <c r="R14" i="7" s="1"/>
  <c r="Q16" i="7"/>
  <c r="Q17" i="7"/>
  <c r="Q10" i="7"/>
  <c r="R6" i="13" l="1"/>
  <c r="V6" i="13"/>
  <c r="T42" i="12"/>
  <c r="R30" i="12"/>
  <c r="R31" i="12" s="1"/>
  <c r="V42" i="12" s="1"/>
  <c r="T43" i="12" s="1"/>
  <c r="S55" i="12"/>
  <c r="Y3" i="12" s="1"/>
  <c r="S54" i="12"/>
  <c r="R28" i="11"/>
  <c r="R29" i="11" s="1"/>
  <c r="X40" i="11" s="1"/>
  <c r="V40" i="11"/>
  <c r="S25" i="10"/>
  <c r="U5" i="10" s="1"/>
  <c r="Q6" i="10" s="1"/>
  <c r="P2" i="10" s="1"/>
  <c r="P23" i="10"/>
  <c r="S23" i="10"/>
  <c r="Q17" i="9"/>
  <c r="AI44" i="8"/>
  <c r="AH44" i="8"/>
  <c r="R42" i="8"/>
  <c r="R30" i="8" s="1"/>
  <c r="R31" i="8" s="1"/>
  <c r="S3" i="8" s="1"/>
  <c r="W38" i="5"/>
  <c r="Q37" i="5"/>
  <c r="Q38" i="5"/>
  <c r="T34" i="5"/>
  <c r="W37" i="5"/>
  <c r="R7" i="13" l="1"/>
  <c r="V41" i="11"/>
  <c r="R20" i="9"/>
  <c r="T20" i="9" s="1"/>
  <c r="R18" i="9"/>
  <c r="R19" i="9"/>
  <c r="T19" i="9" s="1"/>
  <c r="T18" i="9"/>
  <c r="R21" i="9"/>
  <c r="T21" i="9" s="1"/>
  <c r="U12" i="13" l="1"/>
  <c r="R13" i="13"/>
  <c r="S55" i="11"/>
  <c r="Y3" i="11" s="1"/>
  <c r="S54" i="11"/>
  <c r="T22" i="9"/>
  <c r="S24" i="9" s="1"/>
  <c r="R22" i="9"/>
  <c r="U24" i="9" s="1"/>
  <c r="S25" i="9" l="1"/>
  <c r="Q12" i="9" s="1"/>
  <c r="Q13" i="9" s="1"/>
  <c r="S5" i="9" s="1"/>
  <c r="Q6" i="9" s="1"/>
  <c r="P2" i="9" s="1"/>
  <c r="T52" i="8" l="1"/>
  <c r="Q56" i="8" s="1"/>
  <c r="U56" i="8" s="1"/>
  <c r="T51" i="8"/>
  <c r="Q55" i="8" s="1"/>
  <c r="U55" i="8" s="1"/>
  <c r="U57" i="8" l="1"/>
  <c r="U3" i="8" s="1"/>
  <c r="Q4" i="8" s="1"/>
</calcChain>
</file>

<file path=xl/sharedStrings.xml><?xml version="1.0" encoding="utf-8"?>
<sst xmlns="http://schemas.openxmlformats.org/spreadsheetml/2006/main" count="1815" uniqueCount="424">
  <si>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</si>
  <si>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</si>
  <si>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</si>
  <si>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</si>
  <si>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</si>
  <si>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</si>
  <si>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</si>
  <si>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</si>
  <si>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</si>
  <si>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</si>
  <si>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</si>
  <si>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</si>
  <si>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</si>
  <si>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</si>
  <si>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Hint</t>
  </si>
  <si>
    <t>net</t>
  </si>
  <si>
    <t>C</t>
  </si>
  <si>
    <t>total</t>
  </si>
  <si>
    <t>Concept</t>
  </si>
  <si>
    <t>x</t>
  </si>
  <si>
    <t>RBC Ratio</t>
  </si>
  <si>
    <t>RBC Charges</t>
  </si>
  <si>
    <t>R1</t>
  </si>
  <si>
    <t>R2</t>
  </si>
  <si>
    <t>R3</t>
  </si>
  <si>
    <t>R4</t>
  </si>
  <si>
    <t>R5</t>
  </si>
  <si>
    <t>Rcat</t>
  </si>
  <si>
    <t>Odomirok.19-RBC</t>
  </si>
  <si>
    <t>Basic RBC problem</t>
  </si>
  <si>
    <t>Calculating the RBC ratio</t>
  </si>
  <si>
    <r>
      <t xml:space="preserve">company </t>
    </r>
    <r>
      <rPr>
        <b/>
        <sz val="11"/>
        <color theme="1"/>
        <rFont val="Calibri"/>
        <family val="2"/>
        <scheme val="minor"/>
      </rPr>
      <t>net loss &amp; LAE</t>
    </r>
    <r>
      <rPr>
        <sz val="11"/>
        <color theme="1"/>
        <rFont val="Calibri"/>
        <family val="2"/>
        <scheme val="minor"/>
      </rPr>
      <t xml:space="preserve"> ratio</t>
    </r>
  </si>
  <si>
    <t>RBC Capital Required:</t>
  </si>
  <si>
    <r>
      <t xml:space="preserve">company </t>
    </r>
    <r>
      <rPr>
        <b/>
        <sz val="11"/>
        <color theme="1"/>
        <rFont val="Calibri"/>
        <family val="2"/>
        <scheme val="minor"/>
      </rPr>
      <t>expense</t>
    </r>
    <r>
      <rPr>
        <sz val="11"/>
        <color theme="1"/>
        <rFont val="Calibri"/>
        <family val="2"/>
        <scheme val="minor"/>
      </rPr>
      <t xml:space="preserve"> ratio</t>
    </r>
  </si>
  <si>
    <t>ACL:</t>
  </si>
  <si>
    <r>
      <t xml:space="preserve">policyholder </t>
    </r>
    <r>
      <rPr>
        <b/>
        <sz val="11"/>
        <color theme="1"/>
        <rFont val="Calibri"/>
        <family val="2"/>
        <scheme val="minor"/>
      </rPr>
      <t>dividend</t>
    </r>
    <r>
      <rPr>
        <sz val="11"/>
        <color theme="1"/>
        <rFont val="Calibri"/>
        <family val="2"/>
        <scheme val="minor"/>
      </rPr>
      <t xml:space="preserve"> ratio</t>
    </r>
  </si>
  <si>
    <t>Total Adjusted Capital</t>
  </si>
  <si>
    <t>TAC: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</si>
  <si>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</si>
  <si>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</t>
    </r>
  </si>
  <si>
    <t>RBC ratio:</t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</si>
  <si>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</si>
  <si>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charge</t>
    </r>
  </si>
  <si>
    <t>COR:</t>
  </si>
  <si>
    <t xml:space="preserve"> &lt;== need this only if trend test is required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</si>
  <si>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</si>
  <si>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charge</t>
    </r>
  </si>
  <si>
    <t>level</t>
  </si>
  <si>
    <t>threshhold</t>
  </si>
  <si>
    <t>action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</si>
  <si>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charge</t>
    </r>
  </si>
  <si>
    <t>CAL</t>
  </si>
  <si>
    <t>RAL</t>
  </si>
  <si>
    <t>ACL</t>
  </si>
  <si>
    <t>MCL</t>
  </si>
  <si>
    <t>2017.Spring #19</t>
  </si>
  <si>
    <t>Calculating the RBC charges (not the ratio)</t>
  </si>
  <si>
    <t>S</t>
  </si>
  <si>
    <t>F</t>
  </si>
  <si>
    <t>E</t>
  </si>
  <si>
    <t>reserve</t>
  </si>
  <si>
    <t>NWP</t>
  </si>
  <si>
    <t>item</t>
  </si>
  <si>
    <t>RBC charge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</si>
  <si>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</si>
  <si>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</si>
  <si>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</si>
  <si>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</si>
  <si>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</si>
  <si>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</si>
  <si>
    <t>Investment income due and accrued</t>
  </si>
  <si>
    <t>Federal income tax recoverable</t>
  </si>
  <si>
    <t>Recoverable from parent, subsidiaries, or affiliates</t>
  </si>
  <si>
    <t>Reinsurance recoverable</t>
  </si>
  <si>
    <t>Reserve</t>
  </si>
  <si>
    <t>Written premium</t>
  </si>
  <si>
    <t>Cash and cash equivalents</t>
  </si>
  <si>
    <t>Unaffiliated bond</t>
  </si>
  <si>
    <t>Unaffiliated stocks</t>
  </si>
  <si>
    <t>Real estate</t>
  </si>
  <si>
    <t>Asset concentration</t>
  </si>
  <si>
    <t>Other non-insurance subsidiaries</t>
  </si>
  <si>
    <t>Investments in insurance affiliates</t>
  </si>
  <si>
    <t xml:space="preserve">reasoning from Sample 2 from examiner's report ==&gt; </t>
  </si>
  <si>
    <t>Non-Tabular Discount</t>
  </si>
  <si>
    <t>Tabular Discount in Reserves</t>
  </si>
  <si>
    <t>sum check:</t>
  </si>
  <si>
    <t>RBC total risk charge</t>
  </si>
  <si>
    <t>difference:</t>
  </si>
  <si>
    <r>
      <t xml:space="preserve">range of surplus corresponding to RAL </t>
    </r>
    <r>
      <rPr>
        <i/>
        <sz val="11"/>
        <color theme="1"/>
        <rFont val="Calibri"/>
        <family val="2"/>
        <scheme val="minor"/>
      </rPr>
      <t>(Regulatory Action Level)</t>
    </r>
  </si>
  <si>
    <r>
      <t>RBC charge = 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+ [ R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5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] </t>
    </r>
    <r>
      <rPr>
        <vertAlign val="superscript"/>
        <sz val="11"/>
        <color theme="1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  = </t>
    </r>
  </si>
  <si>
    <t xml:space="preserve">  &lt;== final answer (part a)</t>
  </si>
  <si>
    <t>Note</t>
  </si>
  <si>
    <t>This question was ambiguous and many different solutions were accepted. My</t>
  </si>
  <si>
    <t xml:space="preserve">         (sample answer #7 in examiner's report)</t>
  </si>
  <si>
    <r>
      <t xml:space="preserve">answer corresponds to </t>
    </r>
    <r>
      <rPr>
        <b/>
        <sz val="11"/>
        <color theme="1"/>
        <rFont val="Calibri"/>
        <family val="2"/>
        <scheme val="minor"/>
      </rPr>
      <t>Sample Answer 2</t>
    </r>
    <r>
      <rPr>
        <sz val="11"/>
        <color theme="1"/>
        <rFont val="Calibri"/>
        <family val="2"/>
        <scheme val="minor"/>
      </rPr>
      <t xml:space="preserve"> because that seemed the simplest. </t>
    </r>
    <r>
      <rPr>
        <i/>
        <sz val="11"/>
        <color theme="1"/>
        <rFont val="Calibri"/>
        <family val="2"/>
        <scheme val="minor"/>
      </rPr>
      <t>(It might be</t>
    </r>
  </si>
  <si>
    <t>(part b)</t>
  </si>
  <si>
    <t>helpful also to spend a moment looking over the answers in the examiner's report.)</t>
  </si>
  <si>
    <t>Let NTD</t>
  </si>
  <si>
    <t>= Non-Tabular DIscount</t>
  </si>
  <si>
    <t xml:space="preserve">  (given)</t>
  </si>
  <si>
    <t>You just have to figure out which risk category each RBC charge goes into. Then apply</t>
  </si>
  <si>
    <t>Let TD</t>
  </si>
  <si>
    <t>= Tabular Dicsount</t>
  </si>
  <si>
    <t>the basic formula for the RBC charge.</t>
  </si>
  <si>
    <t>Required Facts:</t>
  </si>
  <si>
    <t>It's straightforward except for 3 items:</t>
  </si>
  <si>
    <t>* RAL corresponds to a range of 100-150% for the RBC ratio</t>
  </si>
  <si>
    <t>* RBC Ratio = TAC  / ACL</t>
  </si>
  <si>
    <t xml:space="preserve">  (ACL = 50% of the RBC charge from part a)</t>
  </si>
  <si>
    <t>i</t>
  </si>
  <si>
    <r>
      <t>Reinsurance recoverable is split 50/50 between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</si>
  <si>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t>* TAC = PHS - NTD - TD</t>
  </si>
  <si>
    <t>ii</t>
  </si>
  <si>
    <r>
      <t>Asset concentration factor can be split in any proportion between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</si>
  <si>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Then</t>
  </si>
  <si>
    <r>
      <t>(I chose 100% for R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.)</t>
    </r>
  </si>
  <si>
    <t>==&gt;</t>
  </si>
  <si>
    <t>PHS</t>
  </si>
  <si>
    <t xml:space="preserve">  &lt;== low end of range</t>
  </si>
  <si>
    <t>iii</t>
  </si>
  <si>
    <r>
      <t>Other non-insurance subsidiaries can go into either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depending on</t>
    </r>
  </si>
  <si>
    <t xml:space="preserve">  &lt;== high end of range</t>
  </si>
  <si>
    <t>whether it is considered a fixed-income or equity investment.</t>
  </si>
  <si>
    <t>You cannot calculate the RBC Ratio because they don't provide TAC (Total Adjusted Capital)</t>
  </si>
  <si>
    <t>This exam problem is outdated because it uses an earlier version of the RBC formula that</t>
  </si>
  <si>
    <t>didn't include catastrophe or operational risk. For the purposes of this problem, make the</t>
  </si>
  <si>
    <t>following assumptions:</t>
  </si>
  <si>
    <r>
      <t>R</t>
    </r>
    <r>
      <rPr>
        <vertAlign val="subscript"/>
        <sz val="11"/>
        <color rgb="FF9C0006"/>
        <rFont val="Calibri"/>
        <family val="2"/>
        <scheme val="minor"/>
      </rPr>
      <t>cat</t>
    </r>
  </si>
  <si>
    <t xml:space="preserve">  operational risk</t>
  </si>
  <si>
    <t>Problem Creation</t>
  </si>
  <si>
    <t>mixture of 2 examples from Odomirok text (tables 86, 87, 88)</t>
  </si>
  <si>
    <t>basic charge</t>
  </si>
  <si>
    <t>BSC</t>
  </si>
  <si>
    <t>ACC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</si>
  <si>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>1.</t>
    </r>
  </si>
  <si>
    <t>relative magnitudes</t>
  </si>
  <si>
    <t xml:space="preserve"> &lt;== final answer</t>
  </si>
  <si>
    <r>
      <t>data for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calculation</t>
    </r>
  </si>
  <si>
    <t>data for R1 calculation</t>
  </si>
  <si>
    <t>amount</t>
  </si>
  <si>
    <t>RBC factor</t>
  </si>
  <si>
    <t>step 1:</t>
  </si>
  <si>
    <r>
      <t>calculate the 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RBC charge</t>
    </r>
  </si>
  <si>
    <t>cash &amp; equivalents</t>
  </si>
  <si>
    <t>(multiply amounts by RBC factors for each item in the table)</t>
  </si>
  <si>
    <t>n/a</t>
  </si>
  <si>
    <t>other short-term investmemts</t>
  </si>
  <si>
    <t>mortgage bonds</t>
  </si>
  <si>
    <r>
      <t>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 = orange + blue highlights =</t>
    </r>
  </si>
  <si>
    <t>net admitted collateral loans</t>
  </si>
  <si>
    <t>bonds</t>
  </si>
  <si>
    <t>U.S. government</t>
  </si>
  <si>
    <t>Class 01 U.S. govt. bonds</t>
  </si>
  <si>
    <r>
      <t xml:space="preserve">Class 01 </t>
    </r>
    <r>
      <rPr>
        <u/>
        <sz val="11"/>
        <color theme="1"/>
        <rFont val="Calibri"/>
        <family val="2"/>
        <scheme val="minor"/>
      </rPr>
      <t>non-govt</t>
    </r>
    <r>
      <rPr>
        <sz val="11"/>
        <color theme="1"/>
        <rFont val="Calibri"/>
        <family val="2"/>
        <scheme val="minor"/>
      </rPr>
      <t xml:space="preserve"> bonds</t>
    </r>
  </si>
  <si>
    <t>Class 01 non-govt bonds</t>
  </si>
  <si>
    <t>Class 02 unaffiliated bonds</t>
  </si>
  <si>
    <t>Class 03 unaffiliated bonds</t>
  </si>
  <si>
    <t>Class 04 unaffiliated bonds</t>
  </si>
  <si>
    <t xml:space="preserve">  &lt;== NOT subject to bond size charge</t>
  </si>
  <si>
    <t>Class 05 unaffiliated bonds</t>
  </si>
  <si>
    <t>Class 06 unaffiliated bonds</t>
  </si>
  <si>
    <t># of bonds issuers</t>
  </si>
  <si>
    <t>assets subject to asset concentration charge</t>
  </si>
  <si>
    <t>GRID for creating ASSET VALUES</t>
  </si>
  <si>
    <t>fixed income investments</t>
  </si>
  <si>
    <t>equity investments</t>
  </si>
  <si>
    <t>class 03</t>
  </si>
  <si>
    <t>bonds subject to bond size factor</t>
  </si>
  <si>
    <t xml:space="preserve">  &lt;== sum blue highlighted values</t>
  </si>
  <si>
    <t>class 02</t>
  </si>
  <si>
    <t>unaffiliated</t>
  </si>
  <si>
    <t>mortgage</t>
  </si>
  <si>
    <t>preferred</t>
  </si>
  <si>
    <t>common</t>
  </si>
  <si>
    <t>step 2:</t>
  </si>
  <si>
    <t>calculate BSC (Bond Size Charge)</t>
  </si>
  <si>
    <t>stocks</t>
  </si>
  <si>
    <t>stock</t>
  </si>
  <si>
    <t>real estate</t>
  </si>
  <si>
    <t>total *</t>
  </si>
  <si>
    <t>probabilities</t>
  </si>
  <si>
    <t>BSF</t>
  </si>
  <si>
    <t>(assets subject to BSF)</t>
  </si>
  <si>
    <t>BSF calc:</t>
  </si>
  <si>
    <t># issuers</t>
  </si>
  <si>
    <t>weights</t>
  </si>
  <si>
    <t>(1)</t>
  </si>
  <si>
    <t>(2)</t>
  </si>
  <si>
    <t>(3)=(2)x(1)</t>
  </si>
  <si>
    <t>first 50</t>
  </si>
  <si>
    <t>next 50</t>
  </si>
  <si>
    <t>next 300</t>
  </si>
  <si>
    <t>&gt; 400</t>
  </si>
  <si>
    <t>/</t>
  </si>
  <si>
    <t>-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</si>
  <si>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substitute this value above as shown</t>
    </r>
  </si>
  <si>
    <t>step 3:</t>
  </si>
  <si>
    <r>
      <t>calculate ACC (Asset Concentration Charge) for R</t>
    </r>
    <r>
      <rPr>
        <vertAlign val="subscript"/>
        <sz val="11"/>
        <color theme="1"/>
        <rFont val="Calibri"/>
        <family val="2"/>
        <scheme val="minor"/>
      </rPr>
      <t>1</t>
    </r>
  </si>
  <si>
    <t>* represents total assets subject to asset concentration charge</t>
  </si>
  <si>
    <r>
      <t xml:space="preserve">(the 5-step procedure from the wiki is: </t>
    </r>
    <r>
      <rPr>
        <i/>
        <sz val="11"/>
        <color rgb="FF00B050"/>
        <rFont val="Calibri"/>
        <family val="2"/>
        <scheme val="minor"/>
      </rPr>
      <t>gather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sort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truncate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sum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multiply</t>
    </r>
    <r>
      <rPr>
        <i/>
        <sz val="11"/>
        <color theme="1"/>
        <rFont val="Calibri"/>
        <family val="2"/>
        <scheme val="minor"/>
      </rPr>
      <t>)</t>
    </r>
  </si>
  <si>
    <t>gather:</t>
  </si>
  <si>
    <t>this is already done for you</t>
  </si>
  <si>
    <t>sort:</t>
  </si>
  <si>
    <t>truncate:</t>
  </si>
  <si>
    <t>cut the list off at the TOP 10</t>
  </si>
  <si>
    <t>sum:</t>
  </si>
  <si>
    <t>sum the TOP 10 amounts for each fixed income asset:</t>
  </si>
  <si>
    <t xml:space="preserve">  class 02 unaffiliated bonds</t>
  </si>
  <si>
    <t xml:space="preserve">  mortgage bonds</t>
  </si>
  <si>
    <t>multiply:</t>
  </si>
  <si>
    <t>multiply the above sums by the appropriate RBC factor</t>
  </si>
  <si>
    <t xml:space="preserve"> &lt;== ACC</t>
  </si>
  <si>
    <t>based on text example</t>
  </si>
  <si>
    <r>
      <t>R</t>
    </r>
    <r>
      <rPr>
        <vertAlign val="subscript"/>
        <sz val="11"/>
        <color rgb="FF006100"/>
        <rFont val="Calibri"/>
        <family val="2"/>
        <scheme val="minor"/>
      </rPr>
      <t>1</t>
    </r>
    <r>
      <rPr>
        <sz val="11"/>
        <color rgb="FF006100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</si>
  <si>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2</t>
    </r>
    <r>
      <rPr>
        <sz val="11"/>
        <color rgb="FF006100"/>
        <rFont val="Calibri"/>
        <family val="2"/>
        <scheme val="minor"/>
      </rPr>
      <t xml:space="preserve"> =</t>
    </r>
  </si>
  <si>
    <r>
      <t>Calculate RBC charges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</si>
  <si>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rgb="FF9C6500"/>
        <rFont val="Calibri"/>
        <family val="2"/>
        <scheme val="minor"/>
      </rPr>
      <t>1</t>
    </r>
  </si>
  <si>
    <t>basic</t>
  </si>
  <si>
    <t>Fixed Income Assets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</si>
  <si>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1</t>
    </r>
  </si>
  <si>
    <t>amount issued by</t>
  </si>
  <si>
    <t>RBC</t>
  </si>
  <si>
    <t>asset</t>
  </si>
  <si>
    <t>TOP 10 issuer</t>
  </si>
  <si>
    <t>factor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</si>
  <si>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basic charge) x (RBC factor) ]</t>
    </r>
  </si>
  <si>
    <r>
      <t xml:space="preserve">(total R1 </t>
    </r>
    <r>
      <rPr>
        <u/>
        <sz val="11"/>
        <color theme="1"/>
        <rFont val="Calibri"/>
        <family val="2"/>
        <scheme val="minor"/>
      </rPr>
      <t>charges</t>
    </r>
    <r>
      <rPr>
        <sz val="11"/>
        <color theme="1"/>
        <rFont val="Calibri"/>
        <family val="2"/>
        <scheme val="minor"/>
      </rPr>
      <t xml:space="preserve"> for bonds subject to BSF charge)</t>
    </r>
  </si>
  <si>
    <t>class 01 unaffiliated bonds</t>
  </si>
  <si>
    <t>class 02 unaffiliated bonds</t>
  </si>
  <si>
    <t>class 03 unaffiliated bonds</t>
  </si>
  <si>
    <t>class 04 unaffiliated bonds</t>
  </si>
  <si>
    <t>class 05 unaffiliated bonds</t>
  </si>
  <si>
    <t>class 06 unaffiliated bonds</t>
  </si>
  <si>
    <t>Equity Assets</t>
  </si>
  <si>
    <t>other admitted unaff. common Stck.</t>
  </si>
  <si>
    <t>--</t>
  </si>
  <si>
    <t>Schedule BA assets</t>
  </si>
  <si>
    <t>class 01 unaffiliated Prfd. Stck.</t>
  </si>
  <si>
    <t>class 02 unaffiliated Prfd. Stck.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</si>
  <si>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ACC for TOP 10 issuers) x (RBC factor) ]</t>
    </r>
  </si>
  <si>
    <t>class 03 unaffiliated Prfd. Stck.</t>
  </si>
  <si>
    <t>class 04 unaffiliated Prfd. Stck.</t>
  </si>
  <si>
    <t>class 05 unaffiliated Prfd. Stck.</t>
  </si>
  <si>
    <t>class 06 unaffiliated Prfd. Stck.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</si>
  <si>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2</t>
    </r>
  </si>
  <si>
    <t>Items highlighted in red are NOT subject to the ACC or BSF.</t>
  </si>
  <si>
    <r>
      <t>R</t>
    </r>
    <r>
      <rPr>
        <vertAlign val="subscript"/>
        <sz val="11"/>
        <color rgb="FF006100"/>
        <rFont val="Calibri"/>
        <family val="2"/>
        <scheme val="minor"/>
      </rPr>
      <t>3</t>
    </r>
    <r>
      <rPr>
        <sz val="11"/>
        <color rgb="FF006100"/>
        <rFont val="Calibri"/>
        <family val="2"/>
        <scheme val="minor"/>
      </rPr>
      <t xml:space="preserve"> =</t>
    </r>
  </si>
  <si>
    <r>
      <t>Calculate the RBC charge for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</si>
  <si>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</si>
  <si>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charge for non-invested assets</t>
  </si>
  <si>
    <t>charge for reins. recov.</t>
  </si>
  <si>
    <t>+ charge for health credit risk</t>
  </si>
  <si>
    <t>Credit-Related Assets</t>
  </si>
  <si>
    <t>+ 0</t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</si>
  <si>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</si>
  <si>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NON-INVESTED ASSETS</t>
  </si>
  <si>
    <t>investment income due &amp; accrued</t>
  </si>
  <si>
    <t>charges for NON-INVESTED ASSETS</t>
  </si>
  <si>
    <t>amounts receivable related to uninsured plans</t>
  </si>
  <si>
    <t>guaranty funds receivable or on deposit</t>
  </si>
  <si>
    <t>recoverable (parents/subs/affiliates)</t>
  </si>
  <si>
    <t>aggregate write-ins for other than invested assets</t>
  </si>
  <si>
    <t>REINSURANCE RECOVERABLES</t>
  </si>
  <si>
    <t>C35</t>
  </si>
  <si>
    <t>Credit Risk on Collateralized Recoverables</t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</si>
  <si>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non-invested assets</t>
    </r>
  </si>
  <si>
    <t>C36</t>
  </si>
  <si>
    <t>Credit Risk on Uncollateralized Recoverables</t>
  </si>
  <si>
    <t>pre-allocation charges for REINSURANCE RECOVERABLES</t>
  </si>
  <si>
    <t xml:space="preserve"> = (collateralized + uncollateralized risk charge)</t>
  </si>
  <si>
    <t>* C35 refers to Schedule F, Part 3, Column (35)</t>
  </si>
  <si>
    <t>* C36 refers to Schedule F, Part 3, Column (36)</t>
  </si>
  <si>
    <r>
      <t>Check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allocation of RBC for reinsurance recoverables</t>
    </r>
  </si>
  <si>
    <t>* assume this P&amp;C insurer has no health credit risk</t>
  </si>
  <si>
    <r>
      <t xml:space="preserve">  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</si>
  <si>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t xml:space="preserve">  (RBC charge for NON-INVESTED ASSETS) + (1/2)x(RBC charge for reins recoverables)</t>
  </si>
  <si>
    <r>
      <t xml:space="preserve">U/W risk </t>
    </r>
    <r>
      <rPr>
        <i/>
        <sz val="11"/>
        <color theme="1"/>
        <rFont val="Calibri"/>
        <family val="2"/>
        <scheme val="minor"/>
      </rPr>
      <t>(you need this to finish the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calculation)</t>
    </r>
  </si>
  <si>
    <t>U/W Risk</t>
  </si>
  <si>
    <r>
      <t>Since R</t>
    </r>
    <r>
      <rPr>
        <vertAlign val="subscript"/>
        <sz val="11"/>
        <color theme="1"/>
        <rFont val="Calibri"/>
        <family val="2"/>
        <scheme val="minor"/>
      </rPr>
      <t>4</t>
    </r>
  </si>
  <si>
    <r>
      <t>into R</t>
    </r>
    <r>
      <rPr>
        <vertAlign val="subscript"/>
        <sz val="11"/>
        <color theme="1"/>
        <rFont val="Calibri"/>
        <family val="2"/>
        <scheme val="minor"/>
      </rPr>
      <t>3</t>
    </r>
  </si>
  <si>
    <r>
      <t>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</si>
  <si>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r>
      <t>final R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charge for reins recovs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</si>
  <si>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reinsurance recoverables</t>
    </r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</si>
  <si>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(reserve risk)</t>
    </r>
  </si>
  <si>
    <t>Apply equations 1, 2, 3 in succession to arrive at the final answer:</t>
  </si>
  <si>
    <r>
      <t>Total R</t>
    </r>
    <r>
      <rPr>
        <vertAlign val="subscript"/>
        <sz val="11"/>
        <color rgb="FFFF0000"/>
        <rFont val="Calibri"/>
        <family val="2"/>
        <scheme val="minor"/>
      </rPr>
      <t>4</t>
    </r>
    <r>
      <rPr>
        <sz val="11"/>
        <color rgb="FFFF0000"/>
        <rFont val="Calibri"/>
        <family val="2"/>
        <scheme val="minor"/>
      </rPr>
      <t xml:space="preserve"> RBC for all lines   = </t>
    </r>
  </si>
  <si>
    <t xml:space="preserve">  &lt;== final answer</t>
  </si>
  <si>
    <t>Line of Business</t>
  </si>
  <si>
    <r>
      <rPr>
        <b/>
        <sz val="11"/>
        <color theme="1"/>
        <rFont val="Calibri"/>
        <family val="2"/>
        <scheme val="minor"/>
      </rPr>
      <t>Equation 1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</si>
  <si>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Base RBC</t>
    </r>
  </si>
  <si>
    <t>[[ (C+1) x A ] -1 ] x (Reserves)</t>
  </si>
  <si>
    <t>LOB 1</t>
  </si>
  <si>
    <t>LOB 2</t>
  </si>
  <si>
    <t>LOB 3</t>
  </si>
  <si>
    <t>where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</si>
  <si>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</si>
  <si>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rFont val="Calibri"/>
        <family val="2"/>
        <scheme val="minor"/>
      </rPr>
      <t>L+LAE RBC</t>
    </r>
    <r>
      <rPr>
        <sz val="11"/>
        <color theme="1"/>
        <rFont val="Calibri"/>
        <family val="2"/>
        <scheme val="minor"/>
      </rPr>
      <t>%</t>
    </r>
  </si>
  <si>
    <t>&lt;== see weighting below</t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</si>
  <si>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</si>
  <si>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t>A</t>
  </si>
  <si>
    <t>Adjustment for investment income</t>
  </si>
  <si>
    <t>&lt;== given</t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</si>
  <si>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 %</t>
    </r>
  </si>
  <si>
    <t>adjustment for investment income</t>
  </si>
  <si>
    <t>C is a 50/50 weighting between:</t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</si>
  <si>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L+LAE Reserves </t>
    </r>
    <r>
      <rPr>
        <i/>
        <sz val="11"/>
        <color theme="1"/>
        <rFont val="Calibri"/>
        <family val="2"/>
        <scheme val="minor"/>
      </rPr>
      <t>(gross of NTD)</t>
    </r>
  </si>
  <si>
    <r>
      <t xml:space="preserve">  </t>
    </r>
    <r>
      <rPr>
        <i/>
        <sz val="11"/>
        <rFont val="Calibri"/>
        <family val="2"/>
        <scheme val="minor"/>
      </rPr>
      <t>(NTD = Non-Tabular Discount)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</si>
  <si>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</t>
    </r>
  </si>
  <si>
    <t>&lt;== given (weight = 50%)</t>
  </si>
  <si>
    <t>portion of reserves on retro-rated plan</t>
  </si>
  <si>
    <r>
      <t xml:space="preserve">    % </t>
    </r>
    <r>
      <rPr>
        <b/>
        <sz val="11"/>
        <color theme="1"/>
        <rFont val="Calibri"/>
        <family val="2"/>
        <scheme val="minor"/>
      </rPr>
      <t>direct</t>
    </r>
    <r>
      <rPr>
        <sz val="11"/>
        <color theme="1"/>
        <rFont val="Calibri"/>
        <family val="2"/>
        <scheme val="minor"/>
      </rPr>
      <t xml:space="preserve"> loss-sensitive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</si>
  <si>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</si>
  <si>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    % </t>
    </r>
    <r>
      <rPr>
        <b/>
        <sz val="11"/>
        <color theme="1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 xml:space="preserve"> loss-sensitive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</si>
  <si>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LDF)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LDF)</t>
    </r>
  </si>
  <si>
    <r>
      <t xml:space="preserve">Reserve RBC charge </t>
    </r>
    <r>
      <rPr>
        <b/>
        <sz val="11"/>
        <color theme="1"/>
        <rFont val="Calibri"/>
        <family val="2"/>
        <scheme val="minor"/>
      </rPr>
      <t>after discounts</t>
    </r>
  </si>
  <si>
    <t>?</t>
  </si>
  <si>
    <t>&lt;== weight = 50%</t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</si>
  <si>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</si>
  <si>
    <r>
      <t xml:space="preserve">RBC for reinsurance recoverables </t>
    </r>
    <r>
      <rPr>
        <i/>
        <sz val="11"/>
        <color theme="1"/>
        <rFont val="Calibri"/>
        <family val="2"/>
        <scheme val="minor"/>
      </rPr>
      <t>(part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calc)</t>
    </r>
  </si>
  <si>
    <t>Putting this all together gives: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</si>
  <si>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Base RBC</t>
    </r>
  </si>
  <si>
    <t>Assume: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</si>
  <si>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&gt;</t>
    </r>
  </si>
  <si>
    <r>
      <rPr>
        <b/>
        <sz val="11"/>
        <color theme="1"/>
        <rFont val="Calibri"/>
        <family val="2"/>
        <scheme val="minor"/>
      </rPr>
      <t>Equation 2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</si>
  <si>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after discount</t>
    </r>
  </si>
  <si>
    <t xml:space="preserve"> = </t>
  </si>
  <si>
    <t>Base RBC</t>
  </si>
  <si>
    <t>LSD</t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</si>
  <si>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</si>
  <si>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t>(D%</t>
  </si>
  <si>
    <t>A%)</t>
  </si>
  <si>
    <t>TRICK</t>
  </si>
  <si>
    <r>
      <t xml:space="preserve">Don't forget to add </t>
    </r>
    <r>
      <rPr>
        <b/>
        <i/>
        <sz val="11"/>
        <color rgb="FFFF0000"/>
        <rFont val="Calibri"/>
        <family val="2"/>
        <scheme val="minor"/>
      </rPr>
      <t>1/2 of RBC for reinsurance recoverables</t>
    </r>
    <r>
      <rPr>
        <i/>
        <sz val="11"/>
        <color rgb="FFFF0000"/>
        <rFont val="Calibri"/>
        <family val="2"/>
        <scheme val="minor"/>
      </rPr>
      <t xml:space="preserve"> at the very end.</t>
    </r>
  </si>
  <si>
    <t>D%</t>
  </si>
  <si>
    <t>(% direct loss sensitive)</t>
  </si>
  <si>
    <t>A%</t>
  </si>
  <si>
    <t>(% assumed loss sensitive)</t>
  </si>
  <si>
    <t>Putting this together gives:</t>
  </si>
  <si>
    <r>
      <t>R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</si>
  <si>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3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Loss Concentration Factor (LCF)</t>
    </r>
  </si>
  <si>
    <t>Calculate LCF and apply it to all lines of business</t>
  </si>
  <si>
    <t>LCF</t>
  </si>
  <si>
    <t>(max reserve)</t>
  </si>
  <si>
    <t>(total reserve)</t>
  </si>
  <si>
    <r>
      <t xml:space="preserve">Putting this together gives the final answer: </t>
    </r>
    <r>
      <rPr>
        <i/>
        <sz val="11"/>
        <color theme="1"/>
        <rFont val="Calibri"/>
        <family val="2"/>
        <scheme val="minor"/>
      </rPr>
      <t>(RR = Reinsurance Recoverables RBC calc'd as 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)</t>
    </r>
  </si>
  <si>
    <r>
      <t>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(all lines)</t>
    </r>
  </si>
  <si>
    <t>pre-LCF total</t>
  </si>
  <si>
    <t>growth</t>
  </si>
  <si>
    <t>1/2(RR)</t>
  </si>
  <si>
    <r>
      <t>Total 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(all lines)</t>
    </r>
  </si>
  <si>
    <t>2014.Fall #18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</si>
  <si>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(NWP risk)</t>
    </r>
  </si>
  <si>
    <t>Apply equations 4, 5, 6 in succession to arrive at the final answer.</t>
  </si>
  <si>
    <r>
      <t>Total R</t>
    </r>
    <r>
      <rPr>
        <vertAlign val="subscript"/>
        <sz val="11"/>
        <color rgb="FFFF0000"/>
        <rFont val="Calibri"/>
        <family val="2"/>
        <scheme val="minor"/>
      </rPr>
      <t>5</t>
    </r>
    <r>
      <rPr>
        <sz val="11"/>
        <color rgb="FFFF0000"/>
        <rFont val="Calibri"/>
        <family val="2"/>
        <scheme val="minor"/>
      </rPr>
      <t xml:space="preserve"> RBC for all lines   = </t>
    </r>
  </si>
  <si>
    <t>Comm</t>
  </si>
  <si>
    <r>
      <rPr>
        <b/>
        <sz val="11"/>
        <color theme="1"/>
        <rFont val="Calibri"/>
        <family val="2"/>
        <scheme val="minor"/>
      </rPr>
      <t>Equation 4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</si>
  <si>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Base RBC</t>
    </r>
  </si>
  <si>
    <t>(current yr NWP)</t>
  </si>
  <si>
    <t>[ (C x A) + U - 1 ]</t>
  </si>
  <si>
    <t>Auto</t>
  </si>
  <si>
    <t>Liab</t>
  </si>
  <si>
    <t>G/L</t>
  </si>
  <si>
    <t>WC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</si>
  <si>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</si>
  <si>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0070C0"/>
        <rFont val="Calibri"/>
        <family val="2"/>
        <scheme val="minor"/>
      </rPr>
      <t>Company RBC</t>
    </r>
    <r>
      <rPr>
        <sz val="11"/>
        <color theme="1"/>
        <rFont val="Calibri"/>
        <family val="2"/>
        <scheme val="minor"/>
      </rPr>
      <t xml:space="preserve"> L+LAE ratio</t>
    </r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</si>
  <si>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</si>
  <si>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</si>
  <si>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t>U</t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</si>
  <si>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color theme="1"/>
        <rFont val="Calibri"/>
        <family val="2"/>
        <scheme val="minor"/>
      </rPr>
      <t>U/W expense ratio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</si>
  <si>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NWP (current yr)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</si>
  <si>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U/W expense ratio (current yr)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</si>
  <si>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</si>
  <si>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</si>
  <si>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NWP RBC charge </t>
    </r>
    <r>
      <rPr>
        <b/>
        <sz val="11"/>
        <color theme="1"/>
        <rFont val="Calibri"/>
        <family val="2"/>
        <scheme val="minor"/>
      </rPr>
      <t>after discounts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</si>
  <si>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ratio)</t>
    </r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</si>
  <si>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  <r>
      <rPr>
        <sz val="11"/>
        <color theme="1"/>
        <rFont val="Calibri"/>
        <family val="2"/>
        <scheme val="minor"/>
      </rPr>
      <t>:</t>
    </r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</si>
  <si>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</si>
  <si>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Base RBC</t>
    </r>
  </si>
  <si>
    <r>
      <rPr>
        <b/>
        <sz val="11"/>
        <color theme="1"/>
        <rFont val="Calibri"/>
        <family val="2"/>
        <scheme val="minor"/>
      </rPr>
      <t>Equation 5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</si>
  <si>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after discount</t>
    </r>
  </si>
  <si>
    <r>
      <t>R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</si>
  <si>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6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Premium Concentration Factor (PCF)</t>
    </r>
  </si>
  <si>
    <t>Calculate PCF and apply it to all lines of business</t>
  </si>
  <si>
    <t>PCF</t>
  </si>
  <si>
    <t>(max NWP by line)</t>
  </si>
  <si>
    <t>(total NWP)</t>
  </si>
  <si>
    <r>
      <t>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(all lines)</t>
    </r>
  </si>
  <si>
    <t>pre-PCF total</t>
  </si>
  <si>
    <t>growth charge</t>
  </si>
  <si>
    <r>
      <t>Total 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(all lines)</t>
    </r>
  </si>
  <si>
    <t>Text Example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</si>
  <si>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cat </t>
    </r>
    <r>
      <rPr>
        <sz val="11"/>
        <color theme="1"/>
        <rFont val="Calibri"/>
        <family val="2"/>
        <scheme val="minor"/>
      </rPr>
      <t>(catastrophe risk)</t>
    </r>
  </si>
  <si>
    <t>Step 1</t>
  </si>
  <si>
    <r>
      <t xml:space="preserve"> calculate net </t>
    </r>
    <r>
      <rPr>
        <u/>
        <sz val="11"/>
        <color theme="1"/>
        <rFont val="Calibri"/>
        <family val="2"/>
        <scheme val="minor"/>
      </rPr>
      <t>hurricane</t>
    </r>
    <r>
      <rPr>
        <sz val="11"/>
        <color theme="1"/>
        <rFont val="Calibri"/>
        <family val="2"/>
        <scheme val="minor"/>
      </rPr>
      <t xml:space="preserve"> risk charge</t>
    </r>
  </si>
  <si>
    <t>Calculate the total RBC catastrophe risk charge.</t>
  </si>
  <si>
    <t>hurricane</t>
  </si>
  <si>
    <t>(net 1-in-100 year loss)  x  1.0</t>
  </si>
  <si>
    <t>(ceded 1-in-100 year loss)  x  0.048</t>
  </si>
  <si>
    <t>earthquake catastrophe risk charge</t>
  </si>
  <si>
    <t>modeled losses</t>
  </si>
  <si>
    <t>Step 2</t>
  </si>
  <si>
    <r>
      <t xml:space="preserve"> combine hurricane charge with earthquake charge for </t>
    </r>
    <r>
      <rPr>
        <u/>
        <sz val="11"/>
        <color theme="1"/>
        <rFont val="Calibri"/>
        <family val="2"/>
        <scheme val="minor"/>
      </rPr>
      <t>total catastrophe charge</t>
    </r>
  </si>
  <si>
    <t>D + A</t>
  </si>
  <si>
    <t>1-in-50 year event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</si>
  <si>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</si>
  <si>
    <r>
      <t>[ (earthquake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</si>
  <si>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(hurricane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</si>
  <si>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] </t>
    </r>
    <r>
      <rPr>
        <vertAlign val="superscript"/>
        <sz val="11"/>
        <color theme="1"/>
        <rFont val="Calibri"/>
        <family val="2"/>
        <scheme val="minor"/>
      </rPr>
      <t>1/2</t>
    </r>
  </si>
  <si>
    <t>1-in-100 year event</t>
  </si>
  <si>
    <t>1-in-250 year event</t>
  </si>
  <si>
    <t>1-in-500 year event</t>
  </si>
  <si>
    <t>(final answer)</t>
  </si>
  <si>
    <t>* D + A is Direct + Assumed losses</t>
  </si>
  <si>
    <t>* Assume that all ceded amounts are subject to the credit risk charge of 0.048.</t>
  </si>
  <si>
    <t>Calculate the RBC ratio</t>
  </si>
  <si>
    <t>Calculate the RBC charges</t>
  </si>
  <si>
    <t>Calculate the R1 charge</t>
  </si>
  <si>
    <t>Calculate the catastrophe charge</t>
  </si>
  <si>
    <t>Calculate the R5 charge</t>
  </si>
  <si>
    <t>Calculate the R4 charge</t>
  </si>
  <si>
    <t>Calculate the R3 charge</t>
  </si>
  <si>
    <t>Calculate the R1 &amp; R2 charges</t>
  </si>
  <si>
    <t>Exam 6U: RBC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</si>
</sst>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0.0000"/>
    <numFmt numFmtId="167" formatCode="#,##0.0"/>
    <numFmt numFmtId="168" formatCode="0.000"/>
    <numFmt numFmtId="169" formatCode="#,##0.0000"/>
    <numFmt numFmtId="170" formatCode="#,##0.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rgb="FF9C000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vertAlign val="subscript"/>
      <sz val="11"/>
      <color rgb="FF006100"/>
      <name val="Calibri"/>
      <family val="2"/>
      <scheme val="minor"/>
    </font>
    <font>
      <vertAlign val="subscript"/>
      <sz val="11"/>
      <color rgb="FF9C6500"/>
      <name val="Calibri"/>
      <family val="2"/>
      <scheme val="minor"/>
    </font>
    <font>
      <i/>
      <vertAlign val="subscript"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</cellStyleXfs>
  <cellXfs count="442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0" fillId="0" borderId="11" xfId="0" applyNumberFormat="1" applyBorder="1"/>
    <xf numFmtId="3" fontId="1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3" fontId="0" fillId="0" borderId="10" xfId="0" applyNumberFormat="1" applyBorder="1"/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0" xfId="0" quotePrefix="1" applyNumberFormat="1" applyAlignment="1">
      <alignment horizontal="center"/>
    </xf>
    <xf numFmtId="0" fontId="9" fillId="0" borderId="0" xfId="0" applyFont="1"/>
    <xf numFmtId="0" fontId="6" fillId="4" borderId="0" xfId="3"/>
    <xf numFmtId="0" fontId="10" fillId="0" borderId="0" xfId="0" applyFont="1"/>
    <xf numFmtId="0" fontId="0" fillId="0" borderId="0" xfId="0" quotePrefix="1" applyFont="1"/>
    <xf numFmtId="3" fontId="6" fillId="4" borderId="0" xfId="3" applyNumberFormat="1"/>
    <xf numFmtId="0" fontId="6" fillId="4" borderId="5" xfId="3" applyBorder="1"/>
    <xf numFmtId="3" fontId="10" fillId="0" borderId="0" xfId="0" applyNumberFormat="1" applyFont="1"/>
    <xf numFmtId="0" fontId="0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Continuous"/>
    </xf>
    <xf numFmtId="0" fontId="10" fillId="0" borderId="0" xfId="0" quotePrefix="1" applyFont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4" fillId="0" borderId="0" xfId="0" applyNumberFormat="1" applyFont="1"/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0" fontId="0" fillId="0" borderId="0" xfId="0" quotePrefix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14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9" fontId="1" fillId="0" borderId="4" xfId="2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9" fontId="1" fillId="0" borderId="7" xfId="2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9" fontId="1" fillId="0" borderId="6" xfId="2" applyNumberFormat="1" applyFont="1" applyBorder="1" applyAlignment="1">
      <alignment horizontal="center"/>
    </xf>
    <xf numFmtId="0" fontId="0" fillId="15" borderId="8" xfId="0" applyFont="1" applyFill="1" applyBorder="1" applyAlignment="1">
      <alignment horizontal="centerContinuous"/>
    </xf>
    <xf numFmtId="0" fontId="0" fillId="15" borderId="0" xfId="0" applyFont="1" applyFill="1" applyBorder="1" applyAlignment="1">
      <alignment horizontal="centerContinuous"/>
    </xf>
    <xf numFmtId="0" fontId="0" fillId="15" borderId="7" xfId="0" applyFont="1" applyFill="1" applyBorder="1" applyAlignment="1">
      <alignment horizontal="centerContinuous"/>
    </xf>
    <xf numFmtId="3" fontId="0" fillId="15" borderId="7" xfId="0" applyNumberFormat="1" applyFill="1" applyBorder="1"/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3" fontId="0" fillId="0" borderId="4" xfId="0" applyNumberFormat="1" applyFont="1" applyBorder="1"/>
    <xf numFmtId="0" fontId="0" fillId="0" borderId="8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3" fontId="0" fillId="0" borderId="7" xfId="0" applyNumberFormat="1" applyBorder="1"/>
    <xf numFmtId="9" fontId="0" fillId="0" borderId="12" xfId="2" applyFont="1" applyBorder="1"/>
    <xf numFmtId="0" fontId="0" fillId="3" borderId="12" xfId="0" applyFont="1" applyFill="1" applyBorder="1" applyAlignment="1">
      <alignment horizontal="center"/>
    </xf>
    <xf numFmtId="0" fontId="0" fillId="0" borderId="5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3" fontId="0" fillId="0" borderId="6" xfId="0" applyNumberFormat="1" applyBorder="1"/>
    <xf numFmtId="0" fontId="0" fillId="0" borderId="15" xfId="0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0" fontId="0" fillId="0" borderId="15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0" fillId="0" borderId="14" xfId="0" applyFont="1" applyBorder="1"/>
    <xf numFmtId="0" fontId="16" fillId="13" borderId="9" xfId="8" applyBorder="1" applyAlignment="1">
      <alignment horizontal="center"/>
    </xf>
    <xf numFmtId="0" fontId="16" fillId="13" borderId="10" xfId="8" applyBorder="1" applyAlignment="1">
      <alignment horizontal="center"/>
    </xf>
    <xf numFmtId="0" fontId="16" fillId="13" borderId="11" xfId="8" applyBorder="1" applyAlignment="1">
      <alignment horizontal="center"/>
    </xf>
    <xf numFmtId="0" fontId="8" fillId="6" borderId="10" xfId="5" applyBorder="1" applyAlignment="1">
      <alignment horizontal="center"/>
    </xf>
    <xf numFmtId="0" fontId="8" fillId="6" borderId="11" xfId="5" applyBorder="1" applyAlignment="1">
      <alignment horizontal="center"/>
    </xf>
    <xf numFmtId="0" fontId="1" fillId="16" borderId="9" xfId="0" applyFont="1" applyFill="1" applyBorder="1"/>
    <xf numFmtId="0" fontId="1" fillId="16" borderId="10" xfId="0" applyFont="1" applyFill="1" applyBorder="1"/>
    <xf numFmtId="0" fontId="1" fillId="16" borderId="11" xfId="0" applyFont="1" applyFill="1" applyBorder="1"/>
    <xf numFmtId="3" fontId="1" fillId="16" borderId="11" xfId="0" applyNumberFormat="1" applyFont="1" applyFill="1" applyBorder="1" applyAlignment="1">
      <alignment horizontal="center"/>
    </xf>
    <xf numFmtId="3" fontId="1" fillId="16" borderId="10" xfId="0" applyNumberFormat="1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11" xfId="0" applyFont="1" applyFill="1" applyBorder="1" applyAlignment="1">
      <alignment horizontal="center"/>
    </xf>
    <xf numFmtId="3" fontId="0" fillId="3" borderId="7" xfId="0" applyNumberFormat="1" applyFont="1" applyFill="1" applyBorder="1"/>
    <xf numFmtId="3" fontId="0" fillId="0" borderId="0" xfId="0" applyNumberFormat="1" applyFont="1" applyBorder="1"/>
    <xf numFmtId="165" fontId="0" fillId="0" borderId="8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3" fontId="0" fillId="3" borderId="6" xfId="0" applyNumberFormat="1" applyFont="1" applyFill="1" applyBorder="1"/>
    <xf numFmtId="3" fontId="0" fillId="0" borderId="1" xfId="0" applyNumberFormat="1" applyFont="1" applyBorder="1"/>
    <xf numFmtId="165" fontId="0" fillId="0" borderId="5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3" fontId="0" fillId="3" borderId="4" xfId="0" applyNumberFormat="1" applyFont="1" applyFill="1" applyBorder="1"/>
    <xf numFmtId="3" fontId="0" fillId="0" borderId="3" xfId="0" applyNumberFormat="1" applyFont="1" applyBorder="1"/>
    <xf numFmtId="165" fontId="0" fillId="0" borderId="3" xfId="2" applyNumberFormat="1" applyFont="1" applyBorder="1" applyAlignment="1">
      <alignment horizontal="center"/>
    </xf>
    <xf numFmtId="0" fontId="7" fillId="5" borderId="5" xfId="4" applyBorder="1"/>
    <xf numFmtId="0" fontId="7" fillId="5" borderId="1" xfId="4" applyBorder="1"/>
    <xf numFmtId="0" fontId="7" fillId="5" borderId="6" xfId="4" applyBorder="1"/>
    <xf numFmtId="3" fontId="7" fillId="5" borderId="1" xfId="4" applyNumberFormat="1" applyBorder="1"/>
    <xf numFmtId="165" fontId="7" fillId="5" borderId="5" xfId="4" applyNumberFormat="1" applyBorder="1" applyAlignment="1">
      <alignment horizontal="center"/>
    </xf>
    <xf numFmtId="165" fontId="7" fillId="5" borderId="1" xfId="4" applyNumberFormat="1" applyBorder="1" applyAlignment="1">
      <alignment horizontal="center"/>
    </xf>
    <xf numFmtId="165" fontId="7" fillId="5" borderId="6" xfId="4" applyNumberFormat="1" applyBorder="1" applyAlignment="1">
      <alignment horizontal="center"/>
    </xf>
    <xf numFmtId="0" fontId="1" fillId="0" borderId="0" xfId="0" applyFont="1" applyAlignment="1">
      <alignment horizontal="right"/>
    </xf>
    <xf numFmtId="3" fontId="16" fillId="14" borderId="5" xfId="9" applyNumberFormat="1" applyBorder="1"/>
    <xf numFmtId="3" fontId="16" fillId="14" borderId="1" xfId="9" applyNumberFormat="1" applyBorder="1"/>
    <xf numFmtId="3" fontId="16" fillId="14" borderId="6" xfId="9" applyNumberFormat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Fill="1" applyBorder="1"/>
    <xf numFmtId="0" fontId="1" fillId="0" borderId="0" xfId="0" quotePrefix="1" applyFont="1"/>
    <xf numFmtId="0" fontId="10" fillId="0" borderId="0" xfId="0" applyFont="1" applyFill="1" applyBorder="1"/>
    <xf numFmtId="9" fontId="0" fillId="0" borderId="0" xfId="0" applyNumberFormat="1" applyFont="1" applyAlignment="1">
      <alignment horizontal="center"/>
    </xf>
    <xf numFmtId="0" fontId="7" fillId="5" borderId="9" xfId="4" applyBorder="1" applyAlignment="1">
      <alignment horizontal="center"/>
    </xf>
    <xf numFmtId="0" fontId="7" fillId="5" borderId="10" xfId="4" applyBorder="1" applyAlignment="1">
      <alignment horizontal="center"/>
    </xf>
    <xf numFmtId="0" fontId="7" fillId="5" borderId="11" xfId="4" applyBorder="1" applyAlignment="1">
      <alignment horizontal="center"/>
    </xf>
    <xf numFmtId="0" fontId="7" fillId="5" borderId="9" xfId="4" applyBorder="1"/>
    <xf numFmtId="0" fontId="7" fillId="5" borderId="10" xfId="4" applyBorder="1"/>
    <xf numFmtId="3" fontId="6" fillId="4" borderId="12" xfId="3" applyNumberFormat="1" applyBorder="1" applyAlignment="1">
      <alignment horizontal="center"/>
    </xf>
    <xf numFmtId="0" fontId="1" fillId="11" borderId="16" xfId="0" applyFont="1" applyFill="1" applyBorder="1" applyAlignment="1">
      <alignment horizontal="centerContinuous"/>
    </xf>
    <xf numFmtId="3" fontId="1" fillId="11" borderId="17" xfId="0" applyNumberFormat="1" applyFont="1" applyFill="1" applyBorder="1" applyAlignment="1">
      <alignment horizontal="centerContinuous"/>
    </xf>
    <xf numFmtId="3" fontId="1" fillId="11" borderId="18" xfId="0" applyNumberFormat="1" applyFont="1" applyFill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1" fillId="3" borderId="0" xfId="0" applyNumberFormat="1" applyFont="1" applyFill="1" applyBorder="1"/>
    <xf numFmtId="166" fontId="11" fillId="0" borderId="7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3" fontId="22" fillId="0" borderId="0" xfId="0" applyNumberFormat="1" applyFont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3" fillId="0" borderId="11" xfId="0" applyFont="1" applyBorder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3" fontId="0" fillId="3" borderId="0" xfId="0" applyNumberFormat="1" applyFont="1" applyFill="1" applyBorder="1"/>
    <xf numFmtId="166" fontId="0" fillId="0" borderId="7" xfId="0" applyNumberFormat="1" applyFont="1" applyFill="1" applyBorder="1"/>
    <xf numFmtId="3" fontId="11" fillId="10" borderId="7" xfId="0" applyNumberFormat="1" applyFont="1" applyFill="1" applyBorder="1"/>
    <xf numFmtId="3" fontId="23" fillId="0" borderId="21" xfId="0" applyNumberFormat="1" applyFont="1" applyBorder="1" applyAlignment="1">
      <alignment horizontal="center"/>
    </xf>
    <xf numFmtId="3" fontId="0" fillId="0" borderId="7" xfId="0" applyNumberFormat="1" applyFont="1" applyFill="1" applyBorder="1"/>
    <xf numFmtId="3" fontId="0" fillId="3" borderId="1" xfId="0" applyNumberFormat="1" applyFont="1" applyFill="1" applyBorder="1"/>
    <xf numFmtId="166" fontId="0" fillId="0" borderId="6" xfId="0" applyNumberFormat="1" applyFont="1" applyFill="1" applyBorder="1"/>
    <xf numFmtId="3" fontId="0" fillId="9" borderId="7" xfId="0" applyNumberFormat="1" applyFont="1" applyFill="1" applyBorder="1"/>
    <xf numFmtId="4" fontId="9" fillId="0" borderId="1" xfId="0" applyNumberFormat="1" applyFont="1" applyFill="1" applyBorder="1"/>
    <xf numFmtId="0" fontId="0" fillId="0" borderId="9" xfId="0" applyFont="1" applyBorder="1"/>
    <xf numFmtId="0" fontId="0" fillId="3" borderId="11" xfId="0" applyFont="1" applyFill="1" applyBorder="1" applyAlignment="1">
      <alignment horizontal="center"/>
    </xf>
    <xf numFmtId="0" fontId="7" fillId="5" borderId="9" xfId="4" applyBorder="1" applyAlignment="1">
      <alignment horizontal="centerContinuous"/>
    </xf>
    <xf numFmtId="0" fontId="7" fillId="5" borderId="10" xfId="4" applyBorder="1" applyAlignment="1">
      <alignment horizontal="centerContinuous"/>
    </xf>
    <xf numFmtId="0" fontId="7" fillId="5" borderId="11" xfId="4" applyBorder="1" applyAlignment="1">
      <alignment horizontal="centerContinuous"/>
    </xf>
    <xf numFmtId="0" fontId="0" fillId="0" borderId="12" xfId="0" applyFont="1" applyBorder="1"/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3" fontId="0" fillId="9" borderId="6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14" fillId="0" borderId="6" xfId="0" applyNumberFormat="1" applyFont="1" applyBorder="1"/>
    <xf numFmtId="0" fontId="10" fillId="0" borderId="7" xfId="0" applyFont="1" applyBorder="1"/>
    <xf numFmtId="0" fontId="10" fillId="0" borderId="0" xfId="0" applyFont="1" applyBorder="1"/>
    <xf numFmtId="0" fontId="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3" borderId="8" xfId="0" applyNumberFormat="1" applyFont="1" applyFill="1" applyBorder="1"/>
    <xf numFmtId="3" fontId="0" fillId="0" borderId="7" xfId="0" applyNumberFormat="1" applyFont="1" applyBorder="1"/>
    <xf numFmtId="0" fontId="9" fillId="0" borderId="0" xfId="0" applyFont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167" fontId="0" fillId="0" borderId="0" xfId="0" applyNumberFormat="1" applyFont="1"/>
    <xf numFmtId="3" fontId="0" fillId="3" borderId="5" xfId="0" applyNumberFormat="1" applyFont="1" applyFill="1" applyBorder="1"/>
    <xf numFmtId="3" fontId="0" fillId="0" borderId="6" xfId="0" applyNumberFormat="1" applyFont="1" applyBorder="1"/>
    <xf numFmtId="168" fontId="8" fillId="6" borderId="0" xfId="5" applyNumberFormat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14" xfId="0" quotePrefix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3" fontId="0" fillId="3" borderId="1" xfId="0" applyNumberFormat="1" applyFill="1" applyBorder="1"/>
    <xf numFmtId="3" fontId="0" fillId="3" borderId="5" xfId="0" applyNumberFormat="1" applyFill="1" applyBorder="1"/>
    <xf numFmtId="3" fontId="0" fillId="3" borderId="1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13" fillId="0" borderId="0" xfId="0" applyFont="1" applyAlignment="1">
      <alignment horizontal="left"/>
    </xf>
    <xf numFmtId="3" fontId="0" fillId="3" borderId="23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0" borderId="24" xfId="0" applyNumberFormat="1" applyFont="1" applyBorder="1"/>
    <xf numFmtId="3" fontId="0" fillId="3" borderId="23" xfId="0" applyNumberFormat="1" applyFont="1" applyFill="1" applyBorder="1" applyAlignment="1">
      <alignment horizontal="center"/>
    </xf>
    <xf numFmtId="3" fontId="0" fillId="3" borderId="24" xfId="0" applyNumberFormat="1" applyFont="1" applyFill="1" applyBorder="1" applyAlignment="1">
      <alignment horizontal="center"/>
    </xf>
    <xf numFmtId="3" fontId="0" fillId="3" borderId="25" xfId="0" applyNumberFormat="1" applyFont="1" applyFill="1" applyBorder="1" applyAlignment="1">
      <alignment horizontal="center"/>
    </xf>
    <xf numFmtId="3" fontId="0" fillId="0" borderId="5" xfId="0" applyNumberFormat="1" applyFont="1" applyBorder="1"/>
    <xf numFmtId="3" fontId="26" fillId="0" borderId="0" xfId="0" applyNumberFormat="1" applyFont="1"/>
    <xf numFmtId="3" fontId="13" fillId="0" borderId="0" xfId="0" applyNumberFormat="1" applyFont="1"/>
    <xf numFmtId="3" fontId="0" fillId="0" borderId="0" xfId="0" applyNumberFormat="1" applyFont="1" applyAlignment="1">
      <alignment horizontal="right"/>
    </xf>
    <xf numFmtId="169" fontId="0" fillId="0" borderId="0" xfId="0" applyNumberFormat="1" applyFont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9" fillId="0" borderId="0" xfId="0" applyNumberFormat="1" applyFont="1"/>
    <xf numFmtId="3" fontId="6" fillId="4" borderId="9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8" fillId="6" borderId="9" xfId="5" applyNumberFormat="1" applyBorder="1" applyAlignment="1">
      <alignment horizontal="center"/>
    </xf>
    <xf numFmtId="3" fontId="8" fillId="6" borderId="10" xfId="5" applyNumberFormat="1" applyBorder="1" applyAlignment="1">
      <alignment horizontal="center"/>
    </xf>
    <xf numFmtId="3" fontId="8" fillId="6" borderId="11" xfId="5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1" fillId="11" borderId="2" xfId="0" applyNumberFormat="1" applyFont="1" applyFill="1" applyBorder="1" applyAlignment="1">
      <alignment horizontal="center"/>
    </xf>
    <xf numFmtId="3" fontId="1" fillId="11" borderId="3" xfId="0" applyNumberFormat="1" applyFont="1" applyFill="1" applyBorder="1" applyAlignment="1">
      <alignment horizontal="center"/>
    </xf>
    <xf numFmtId="3" fontId="1" fillId="11" borderId="4" xfId="0" applyNumberFormat="1" applyFont="1" applyFill="1" applyBorder="1" applyAlignment="1">
      <alignment horizontal="center"/>
    </xf>
    <xf numFmtId="3" fontId="1" fillId="11" borderId="5" xfId="0" applyNumberFormat="1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center"/>
    </xf>
    <xf numFmtId="3" fontId="1" fillId="11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center"/>
    </xf>
    <xf numFmtId="3" fontId="0" fillId="0" borderId="8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3" fontId="7" fillId="5" borderId="0" xfId="4" applyNumberFormat="1" applyBorder="1" applyAlignment="1"/>
    <xf numFmtId="3" fontId="7" fillId="5" borderId="7" xfId="4" applyNumberFormat="1" applyBorder="1" applyAlignment="1">
      <alignment horizontal="right"/>
    </xf>
    <xf numFmtId="169" fontId="0" fillId="0" borderId="7" xfId="0" applyNumberFormat="1" applyFont="1" applyBorder="1" applyAlignment="1">
      <alignment horizontal="center"/>
    </xf>
    <xf numFmtId="3" fontId="6" fillId="4" borderId="0" xfId="3" applyNumberFormat="1" applyAlignment="1">
      <alignment horizontal="center"/>
    </xf>
    <xf numFmtId="3" fontId="0" fillId="3" borderId="0" xfId="0" applyNumberFormat="1" applyFont="1" applyFill="1" applyBorder="1" applyAlignment="1"/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7" fillId="5" borderId="1" xfId="4" applyNumberFormat="1" applyBorder="1" applyAlignment="1"/>
    <xf numFmtId="3" fontId="7" fillId="5" borderId="6" xfId="4" applyNumberFormat="1" applyBorder="1" applyAlignment="1">
      <alignment horizontal="right"/>
    </xf>
    <xf numFmtId="169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170" fontId="0" fillId="0" borderId="0" xfId="0" applyNumberFormat="1" applyFont="1" applyAlignment="1">
      <alignment horizontal="center"/>
    </xf>
    <xf numFmtId="3" fontId="0" fillId="3" borderId="6" xfId="0" applyNumberFormat="1" applyFont="1" applyFill="1" applyBorder="1" applyAlignment="1">
      <alignment horizontal="right"/>
    </xf>
    <xf numFmtId="3" fontId="0" fillId="8" borderId="2" xfId="0" applyNumberFormat="1" applyFont="1" applyFill="1" applyBorder="1" applyAlignment="1">
      <alignment horizontal="left"/>
    </xf>
    <xf numFmtId="3" fontId="0" fillId="8" borderId="3" xfId="0" applyNumberFormat="1" applyFont="1" applyFill="1" applyBorder="1" applyAlignment="1">
      <alignment horizontal="right"/>
    </xf>
    <xf numFmtId="3" fontId="0" fillId="8" borderId="4" xfId="0" applyNumberFormat="1" applyFont="1" applyFill="1" applyBorder="1" applyAlignment="1">
      <alignment horizontal="right"/>
    </xf>
    <xf numFmtId="3" fontId="1" fillId="8" borderId="3" xfId="0" applyNumberFormat="1" applyFont="1" applyFill="1" applyBorder="1" applyAlignment="1">
      <alignment horizontal="center"/>
    </xf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left"/>
    </xf>
    <xf numFmtId="3" fontId="0" fillId="8" borderId="1" xfId="0" applyNumberFormat="1" applyFont="1" applyFill="1" applyBorder="1" applyAlignment="1">
      <alignment horizontal="right"/>
    </xf>
    <xf numFmtId="3" fontId="0" fillId="8" borderId="6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7" fillId="5" borderId="0" xfId="4" applyNumberFormat="1" applyBorder="1" applyAlignment="1">
      <alignment horizontal="right"/>
    </xf>
    <xf numFmtId="3" fontId="0" fillId="3" borderId="7" xfId="0" quotePrefix="1" applyNumberFormat="1" applyFont="1" applyFill="1" applyBorder="1" applyAlignment="1">
      <alignment horizontal="center"/>
    </xf>
    <xf numFmtId="3" fontId="0" fillId="7" borderId="9" xfId="6" applyNumberFormat="1" applyFont="1" applyBorder="1" applyAlignment="1">
      <alignment horizontal="center"/>
    </xf>
    <xf numFmtId="3" fontId="4" fillId="7" borderId="10" xfId="6" applyNumberFormat="1" applyBorder="1" applyAlignment="1">
      <alignment horizontal="center"/>
    </xf>
    <xf numFmtId="3" fontId="4" fillId="7" borderId="10" xfId="6" applyNumberFormat="1" applyBorder="1" applyAlignment="1">
      <alignment horizontal="right"/>
    </xf>
    <xf numFmtId="3" fontId="4" fillId="7" borderId="11" xfId="6" applyNumberFormat="1" applyBorder="1" applyAlignment="1">
      <alignment horizontal="right"/>
    </xf>
    <xf numFmtId="3" fontId="7" fillId="5" borderId="1" xfId="4" applyNumberFormat="1" applyBorder="1" applyAlignment="1">
      <alignment horizontal="right"/>
    </xf>
    <xf numFmtId="3" fontId="3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1" fillId="0" borderId="9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8" xfId="0" applyNumberFormat="1" applyBorder="1"/>
    <xf numFmtId="4" fontId="0" fillId="0" borderId="7" xfId="0" applyNumberFormat="1" applyBorder="1"/>
    <xf numFmtId="4" fontId="0" fillId="0" borderId="0" xfId="0" applyNumberFormat="1" applyBorder="1"/>
    <xf numFmtId="3" fontId="5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" xfId="0" applyNumberFormat="1" applyBorder="1"/>
    <xf numFmtId="4" fontId="0" fillId="0" borderId="6" xfId="0" applyNumberFormat="1" applyBorder="1"/>
    <xf numFmtId="3" fontId="1" fillId="0" borderId="5" xfId="0" applyNumberFormat="1" applyFont="1" applyBorder="1"/>
    <xf numFmtId="3" fontId="31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8" xfId="0" quotePrefix="1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24" fillId="0" borderId="3" xfId="0" applyNumberFormat="1" applyFont="1" applyBorder="1"/>
    <xf numFmtId="3" fontId="1" fillId="0" borderId="5" xfId="0" quotePrefix="1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70" fontId="0" fillId="0" borderId="0" xfId="0" applyNumberFormat="1"/>
    <xf numFmtId="3" fontId="0" fillId="0" borderId="0" xfId="0" applyNumberFormat="1" applyAlignment="1">
      <alignment horizontal="right"/>
    </xf>
    <xf numFmtId="167" fontId="0" fillId="0" borderId="0" xfId="0" applyNumberFormat="1"/>
    <xf numFmtId="3" fontId="0" fillId="3" borderId="0" xfId="0" applyNumberFormat="1" applyFill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9" xfId="0" applyNumberFormat="1" applyBorder="1"/>
    <xf numFmtId="3" fontId="0" fillId="3" borderId="11" xfId="0" applyNumberFormat="1" applyFill="1" applyBorder="1"/>
    <xf numFmtId="170" fontId="0" fillId="0" borderId="0" xfId="0" applyNumberFormat="1" applyAlignment="1">
      <alignment horizontal="center"/>
    </xf>
    <xf numFmtId="0" fontId="0" fillId="0" borderId="23" xfId="0" applyFont="1" applyBorder="1"/>
    <xf numFmtId="0" fontId="0" fillId="0" borderId="9" xfId="0" applyFont="1" applyBorder="1" applyAlignment="1">
      <alignment horizontal="centerContinuous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4" borderId="9" xfId="3" applyBorder="1"/>
    <xf numFmtId="0" fontId="6" fillId="4" borderId="10" xfId="3" applyBorder="1" applyAlignment="1">
      <alignment horizontal="right"/>
    </xf>
    <xf numFmtId="0" fontId="6" fillId="4" borderId="10" xfId="3" quotePrefix="1" applyBorder="1" applyAlignment="1">
      <alignment horizontal="center"/>
    </xf>
    <xf numFmtId="0" fontId="6" fillId="4" borderId="10" xfId="3" quotePrefix="1" applyBorder="1"/>
    <xf numFmtId="0" fontId="6" fillId="4" borderId="10" xfId="3" applyBorder="1"/>
    <xf numFmtId="0" fontId="6" fillId="4" borderId="10" xfId="3" applyBorder="1" applyAlignment="1">
      <alignment horizontal="center"/>
    </xf>
    <xf numFmtId="0" fontId="6" fillId="4" borderId="11" xfId="3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8" fontId="0" fillId="3" borderId="7" xfId="0" applyNumberFormat="1" applyFont="1" applyFill="1" applyBorder="1" applyAlignment="1">
      <alignment horizontal="center"/>
    </xf>
    <xf numFmtId="166" fontId="8" fillId="6" borderId="0" xfId="5" applyNumberFormat="1" applyAlignment="1">
      <alignment horizontal="center"/>
    </xf>
    <xf numFmtId="168" fontId="0" fillId="3" borderId="6" xfId="0" applyNumberFormat="1" applyFont="1" applyFill="1" applyBorder="1" applyAlignment="1">
      <alignment horizontal="center"/>
    </xf>
    <xf numFmtId="168" fontId="4" fillId="12" borderId="0" xfId="7" applyNumberFormat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0" fontId="12" fillId="6" borderId="0" xfId="5" applyFont="1" applyAlignment="1">
      <alignment horizontal="left"/>
    </xf>
    <xf numFmtId="0" fontId="12" fillId="6" borderId="0" xfId="5" applyFont="1"/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11" fillId="0" borderId="5" xfId="0" applyFont="1" applyBorder="1"/>
    <xf numFmtId="0" fontId="0" fillId="17" borderId="0" xfId="0" applyFont="1" applyFill="1" applyBorder="1"/>
    <xf numFmtId="4" fontId="0" fillId="17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" fontId="0" fillId="17" borderId="6" xfId="0" applyNumberFormat="1" applyFont="1" applyFill="1" applyBorder="1"/>
    <xf numFmtId="164" fontId="0" fillId="3" borderId="7" xfId="2" applyNumberFormat="1" applyFont="1" applyFill="1" applyBorder="1"/>
    <xf numFmtId="0" fontId="0" fillId="15" borderId="9" xfId="0" applyFont="1" applyFill="1" applyBorder="1"/>
    <xf numFmtId="0" fontId="0" fillId="15" borderId="10" xfId="0" applyFont="1" applyFill="1" applyBorder="1"/>
    <xf numFmtId="0" fontId="0" fillId="15" borderId="11" xfId="0" applyFont="1" applyFill="1" applyBorder="1"/>
    <xf numFmtId="0" fontId="0" fillId="15" borderId="11" xfId="0" applyFont="1" applyFill="1" applyBorder="1" applyAlignment="1">
      <alignment horizontal="center"/>
    </xf>
    <xf numFmtId="168" fontId="11" fillId="0" borderId="0" xfId="5" applyNumberFormat="1" applyFont="1" applyFill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3" xfId="0" quotePrefix="1" applyFont="1" applyBorder="1" applyAlignment="1">
      <alignment horizontal="center"/>
    </xf>
    <xf numFmtId="170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8" fontId="11" fillId="0" borderId="3" xfId="5" applyNumberFormat="1" applyFont="1" applyFill="1" applyBorder="1" applyAlignment="1">
      <alignment horizontal="center"/>
    </xf>
    <xf numFmtId="168" fontId="11" fillId="0" borderId="3" xfId="7" applyNumberFormat="1" applyFont="1" applyFill="1" applyBorder="1" applyAlignment="1">
      <alignment horizontal="center"/>
    </xf>
    <xf numFmtId="3" fontId="11" fillId="0" borderId="4" xfId="6" applyNumberFormat="1" applyFont="1" applyFill="1" applyBorder="1" applyAlignment="1">
      <alignment horizontal="center"/>
    </xf>
    <xf numFmtId="0" fontId="6" fillId="4" borderId="1" xfId="3" applyBorder="1" applyAlignment="1">
      <alignment horizontal="right"/>
    </xf>
    <xf numFmtId="0" fontId="6" fillId="4" borderId="1" xfId="3" quotePrefix="1" applyBorder="1" applyAlignment="1">
      <alignment horizontal="center"/>
    </xf>
    <xf numFmtId="167" fontId="6" fillId="4" borderId="1" xfId="3" applyNumberForma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6" fillId="4" borderId="11" xfId="3" applyBorder="1" applyAlignment="1">
      <alignment horizontal="center"/>
    </xf>
    <xf numFmtId="0" fontId="8" fillId="6" borderId="0" xfId="5" applyAlignment="1">
      <alignment horizontal="center"/>
    </xf>
    <xf numFmtId="10" fontId="0" fillId="0" borderId="0" xfId="0" applyNumberFormat="1" applyFont="1"/>
    <xf numFmtId="165" fontId="8" fillId="6" borderId="0" xfId="5" applyNumberFormat="1"/>
    <xf numFmtId="164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11" fillId="0" borderId="2" xfId="3" applyFont="1" applyFill="1" applyBorder="1"/>
    <xf numFmtId="0" fontId="11" fillId="0" borderId="3" xfId="3" applyFont="1" applyFill="1" applyBorder="1"/>
    <xf numFmtId="0" fontId="11" fillId="0" borderId="3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center"/>
    </xf>
    <xf numFmtId="0" fontId="11" fillId="0" borderId="3" xfId="3" quotePrefix="1" applyFont="1" applyFill="1" applyBorder="1" applyAlignment="1">
      <alignment horizontal="center"/>
    </xf>
    <xf numFmtId="0" fontId="11" fillId="0" borderId="4" xfId="3" applyFont="1" applyFill="1" applyBorder="1" applyAlignment="1">
      <alignment horizontal="center"/>
    </xf>
    <xf numFmtId="3" fontId="0" fillId="0" borderId="8" xfId="0" applyNumberFormat="1" applyFont="1" applyBorder="1"/>
    <xf numFmtId="0" fontId="11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" fontId="8" fillId="6" borderId="7" xfId="5" applyNumberFormat="1" applyBorder="1" applyAlignment="1">
      <alignment horizontal="center"/>
    </xf>
    <xf numFmtId="3" fontId="6" fillId="4" borderId="5" xfId="3" applyNumberFormat="1" applyBorder="1"/>
    <xf numFmtId="3" fontId="6" fillId="4" borderId="1" xfId="3" applyNumberFormat="1" applyBorder="1"/>
    <xf numFmtId="0" fontId="6" fillId="4" borderId="1" xfId="3" applyBorder="1" applyAlignment="1">
      <alignment horizontal="center"/>
    </xf>
    <xf numFmtId="3" fontId="1" fillId="0" borderId="23" xfId="0" quotePrefix="1" applyNumberFormat="1" applyFon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0" fillId="12" borderId="0" xfId="7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0" borderId="0" xfId="0" quotePrefix="1" applyNumberFormat="1" applyFont="1" applyAlignment="1">
      <alignment horizontal="center"/>
    </xf>
    <xf numFmtId="170" fontId="4" fillId="12" borderId="0" xfId="7" applyNumberFormat="1" applyAlignment="1">
      <alignment horizontal="center"/>
    </xf>
    <xf numFmtId="3" fontId="0" fillId="0" borderId="23" xfId="0" applyNumberFormat="1" applyFont="1" applyBorder="1"/>
    <xf numFmtId="3" fontId="1" fillId="0" borderId="0" xfId="0" quotePrefix="1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170" fontId="0" fillId="0" borderId="3" xfId="0" applyNumberFormat="1" applyFont="1" applyBorder="1" applyAlignment="1">
      <alignment horizontal="center"/>
    </xf>
    <xf numFmtId="3" fontId="0" fillId="12" borderId="3" xfId="7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11" fillId="0" borderId="3" xfId="7" applyNumberFormat="1" applyFont="1" applyFill="1" applyBorder="1" applyAlignment="1">
      <alignment horizontal="center"/>
    </xf>
    <xf numFmtId="170" fontId="0" fillId="0" borderId="0" xfId="0" applyNumberFormat="1" applyFont="1" applyBorder="1" applyAlignment="1">
      <alignment horizontal="center"/>
    </xf>
    <xf numFmtId="170" fontId="4" fillId="12" borderId="0" xfId="7" applyNumberFormat="1" applyBorder="1" applyAlignment="1">
      <alignment horizontal="center"/>
    </xf>
    <xf numFmtId="3" fontId="6" fillId="4" borderId="1" xfId="3" applyNumberFormat="1" applyBorder="1" applyAlignment="1">
      <alignment horizontal="right"/>
    </xf>
    <xf numFmtId="3" fontId="9" fillId="0" borderId="1" xfId="0" applyNumberFormat="1" applyFont="1" applyBorder="1"/>
    <xf numFmtId="3" fontId="6" fillId="4" borderId="12" xfId="3" applyNumberFormat="1" applyBorder="1"/>
    <xf numFmtId="168" fontId="4" fillId="7" borderId="0" xfId="6" applyNumberFormat="1" applyAlignment="1">
      <alignment horizontal="center"/>
    </xf>
    <xf numFmtId="170" fontId="0" fillId="3" borderId="7" xfId="0" applyNumberFormat="1" applyFont="1" applyFill="1" applyBorder="1" applyAlignment="1">
      <alignment horizontal="center"/>
    </xf>
    <xf numFmtId="3" fontId="0" fillId="17" borderId="7" xfId="0" applyNumberFormat="1" applyFont="1" applyFill="1" applyBorder="1"/>
    <xf numFmtId="3" fontId="0" fillId="15" borderId="10" xfId="0" applyNumberFormat="1" applyFont="1" applyFill="1" applyBorder="1"/>
    <xf numFmtId="3" fontId="0" fillId="3" borderId="0" xfId="0" applyNumberFormat="1" applyFont="1" applyFill="1"/>
    <xf numFmtId="168" fontId="8" fillId="6" borderId="3" xfId="5" applyNumberFormat="1" applyBorder="1" applyAlignment="1">
      <alignment horizontal="center"/>
    </xf>
    <xf numFmtId="168" fontId="4" fillId="12" borderId="3" xfId="7" applyNumberFormat="1" applyBorder="1" applyAlignment="1">
      <alignment horizontal="center"/>
    </xf>
    <xf numFmtId="168" fontId="4" fillId="7" borderId="3" xfId="6" applyNumberFormat="1" applyBorder="1" applyAlignment="1">
      <alignment horizontal="center"/>
    </xf>
    <xf numFmtId="3" fontId="6" fillId="4" borderId="1" xfId="3" applyNumberFormat="1" applyBorder="1" applyAlignment="1">
      <alignment horizontal="center"/>
    </xf>
    <xf numFmtId="167" fontId="8" fillId="6" borderId="7" xfId="5" applyNumberFormat="1" applyBorder="1" applyAlignment="1">
      <alignment horizontal="center"/>
    </xf>
    <xf numFmtId="3" fontId="4" fillId="12" borderId="0" xfId="7" applyNumberFormat="1" applyAlignment="1">
      <alignment horizontal="center"/>
    </xf>
    <xf numFmtId="3" fontId="4" fillId="12" borderId="3" xfId="7" applyNumberFormat="1" applyBorder="1" applyAlignment="1">
      <alignment horizontal="center"/>
    </xf>
    <xf numFmtId="3" fontId="11" fillId="0" borderId="3" xfId="7" applyNumberFormat="1" applyFont="1" applyFill="1" applyBorder="1" applyAlignment="1">
      <alignment horizontal="left"/>
    </xf>
    <xf numFmtId="3" fontId="11" fillId="0" borderId="0" xfId="5" applyNumberFormat="1" applyFont="1" applyFill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3" xfId="0" applyNumberFormat="1" applyFont="1" applyBorder="1" applyAlignment="1">
      <alignment horizontal="centerContinuous"/>
    </xf>
    <xf numFmtId="9" fontId="10" fillId="0" borderId="0" xfId="2" applyFont="1"/>
    <xf numFmtId="3" fontId="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/>
    </xf>
  </cellXfs>
  <cellStyles count="10">
    <cellStyle name="40% - Accent1" xfId="7" builtinId="31"/>
    <cellStyle name="40% - Accent2" xfId="6" builtinId="35"/>
    <cellStyle name="Accent2" xfId="8" builtinId="33"/>
    <cellStyle name="Accent5" xfId="9" builtinId="45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441" t="s">
        <v>423</v>
      </c>
      <c r="B5" s="441"/>
      <c r="C5" s="441"/>
    </row>
    <row r="6" spans="1:3" ht="21" customHeight="1" x14ac:dyDescent="0.25">
      <c r="A6" s="441"/>
      <c r="B6" s="441"/>
      <c r="C6" s="441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20</v>
      </c>
      <c r="C10" s="2" t="s">
        <v>415</v>
      </c>
    </row>
    <row r="11" spans="1:3" x14ac:dyDescent="0.25">
      <c r="A11" s="10">
        <v>2</v>
      </c>
      <c r="B11" s="11" t="s">
        <v>21</v>
      </c>
      <c r="C11" s="2" t="s">
        <v>416</v>
      </c>
    </row>
    <row r="12" spans="1:3" x14ac:dyDescent="0.25">
      <c r="A12" s="10">
        <v>3</v>
      </c>
      <c r="B12" s="11" t="s">
        <v>22</v>
      </c>
      <c r="C12" s="2" t="s">
        <v>417</v>
      </c>
    </row>
    <row r="13" spans="1:3" x14ac:dyDescent="0.25">
      <c r="A13" s="10">
        <v>4</v>
      </c>
      <c r="B13" s="11" t="s">
        <v>23</v>
      </c>
      <c r="C13" s="2" t="s">
        <v>422</v>
      </c>
    </row>
    <row r="14" spans="1:3" x14ac:dyDescent="0.25">
      <c r="A14" s="10">
        <v>5</v>
      </c>
      <c r="B14" s="11" t="s">
        <v>24</v>
      </c>
      <c r="C14" s="2" t="s">
        <v>421</v>
      </c>
    </row>
    <row r="15" spans="1:3" x14ac:dyDescent="0.25">
      <c r="A15" s="10">
        <v>6</v>
      </c>
      <c r="B15" s="11" t="s">
        <v>25</v>
      </c>
      <c r="C15" s="2" t="s">
        <v>420</v>
      </c>
    </row>
    <row r="16" spans="1:3" x14ac:dyDescent="0.25">
      <c r="A16" s="10">
        <v>7</v>
      </c>
      <c r="B16" s="11" t="s">
        <v>26</v>
      </c>
      <c r="C16" s="2" t="s">
        <v>419</v>
      </c>
    </row>
    <row r="17" spans="1:3" x14ac:dyDescent="0.25">
      <c r="A17" s="10">
        <v>8</v>
      </c>
      <c r="B17" s="11" t="s">
        <v>27</v>
      </c>
      <c r="C17" s="2" t="s">
        <v>418</v>
      </c>
    </row>
    <row r="18" spans="1:3" x14ac:dyDescent="0.25">
      <c r="A18" s="4"/>
      <c r="B18" s="11"/>
    </row>
    <row r="19" spans="1:3" x14ac:dyDescent="0.25">
      <c r="A19" s="4"/>
      <c r="B19" s="11"/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BC Ratio'!A1" display="'RBC Ratio'!A1"/>
    <hyperlink ref="A11" location="'RBC Charges'!A1" display="'RBC Charges'!A1"/>
    <hyperlink ref="A12" location="'R1'!A1" display="'R1'!A1"/>
    <hyperlink ref="A13" location="'R2'!A1" display="'R2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  <c r="AC1"/>
    </row>
    <row r="2" spans="1:30" ht="15" customHeight="1" x14ac:dyDescent="0.25">
      <c r="A2" s="5" t="s">
        <v>4</v>
      </c>
      <c r="C2" s="6" t="s">
        <v>29</v>
      </c>
      <c r="N2" s="25" t="s">
        <v>8</v>
      </c>
      <c r="AB2" s="8" t="s">
        <v>8</v>
      </c>
      <c r="AC2"/>
    </row>
    <row r="3" spans="1:30" ht="15" customHeight="1" x14ac:dyDescent="0.25">
      <c r="A3" s="5" t="s">
        <v>5</v>
      </c>
      <c r="C3" s="6" t="s">
        <v>30</v>
      </c>
      <c r="N3" s="25" t="s">
        <v>8</v>
      </c>
      <c r="AB3" s="8" t="s">
        <v>8</v>
      </c>
      <c r="AC3"/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 s="9"/>
    </row>
    <row r="5" spans="1:30" ht="15" customHeight="1" x14ac:dyDescent="0.25">
      <c r="A5" s="19" t="s">
        <v>6</v>
      </c>
      <c r="C5" s="57" t="s">
        <v>31</v>
      </c>
      <c r="D5" s="58"/>
      <c r="E5" s="59"/>
      <c r="F5" s="60">
        <v>0.75</v>
      </c>
      <c r="K5" s="9"/>
      <c r="L5" s="9"/>
      <c r="M5" s="9"/>
      <c r="N5" s="8" t="s">
        <v>8</v>
      </c>
      <c r="O5" s="6" t="s">
        <v>32</v>
      </c>
      <c r="R5" s="7">
        <f>1.03*(F9+SQRT(F10^2+F11^2+F12^2+F13^2+F14^2+F15^2))</f>
        <v>9032.0600925979634</v>
      </c>
      <c r="AB5" s="8" t="s">
        <v>8</v>
      </c>
      <c r="AC5"/>
      <c r="AD5" s="9"/>
    </row>
    <row r="6" spans="1:30" ht="15" customHeight="1" x14ac:dyDescent="0.25">
      <c r="A6" s="27"/>
      <c r="C6" s="61" t="s">
        <v>33</v>
      </c>
      <c r="D6" s="62"/>
      <c r="E6" s="63"/>
      <c r="F6" s="64">
        <v>0.34</v>
      </c>
      <c r="K6" s="9"/>
      <c r="L6" s="9"/>
      <c r="M6" s="9"/>
      <c r="N6" s="8" t="s">
        <v>8</v>
      </c>
      <c r="O6" s="6" t="s">
        <v>34</v>
      </c>
      <c r="R6" s="7">
        <f>0.5*R5</f>
        <v>4516.0300462989817</v>
      </c>
      <c r="AB6" s="8" t="s">
        <v>8</v>
      </c>
      <c r="AC6"/>
      <c r="AD6" s="9"/>
    </row>
    <row r="7" spans="1:30" ht="15" customHeight="1" x14ac:dyDescent="0.25">
      <c r="C7" s="65" t="s">
        <v>35</v>
      </c>
      <c r="D7" s="66"/>
      <c r="E7" s="67"/>
      <c r="F7" s="68">
        <v>0.11999999999999988</v>
      </c>
      <c r="K7" s="9"/>
      <c r="L7" s="9"/>
      <c r="M7" s="9"/>
      <c r="N7" s="8" t="s">
        <v>8</v>
      </c>
      <c r="AB7" s="8" t="s">
        <v>8</v>
      </c>
      <c r="AC7"/>
      <c r="AD7" s="9"/>
    </row>
    <row r="8" spans="1:30" ht="15" customHeight="1" x14ac:dyDescent="0.25">
      <c r="A8" s="19"/>
      <c r="B8" s="9"/>
      <c r="C8" s="69" t="s">
        <v>36</v>
      </c>
      <c r="D8" s="70"/>
      <c r="E8" s="71"/>
      <c r="F8" s="72">
        <v>13000</v>
      </c>
      <c r="I8" s="7"/>
      <c r="K8" s="9"/>
      <c r="L8" s="9"/>
      <c r="M8" s="9"/>
      <c r="N8" s="8" t="s">
        <v>8</v>
      </c>
      <c r="O8" s="6" t="s">
        <v>37</v>
      </c>
      <c r="R8" s="7">
        <f>F8</f>
        <v>13000</v>
      </c>
      <c r="AB8" s="8" t="s">
        <v>8</v>
      </c>
      <c r="AC8"/>
      <c r="AD8" s="9"/>
    </row>
    <row r="9" spans="1:30" ht="15" customHeight="1" x14ac:dyDescent="0.35">
      <c r="A9" s="9"/>
      <c r="B9" s="9"/>
      <c r="C9" s="73" t="s">
        <v>38</v>
      </c>
      <c r="D9" s="74"/>
      <c r="E9" s="75"/>
      <c r="F9" s="76">
        <v>400</v>
      </c>
      <c r="I9" s="7"/>
      <c r="J9" s="9"/>
      <c r="K9" s="9"/>
      <c r="L9" s="9"/>
      <c r="M9" s="9"/>
      <c r="N9" s="8" t="s">
        <v>8</v>
      </c>
      <c r="AB9" s="8" t="s">
        <v>8</v>
      </c>
      <c r="AC9"/>
      <c r="AD9" s="9"/>
    </row>
    <row r="10" spans="1:30" ht="15" customHeight="1" x14ac:dyDescent="0.35">
      <c r="A10" s="9"/>
      <c r="B10" s="9"/>
      <c r="C10" s="77" t="s">
        <v>39</v>
      </c>
      <c r="D10" s="78"/>
      <c r="E10" s="79"/>
      <c r="F10" s="80">
        <v>300</v>
      </c>
      <c r="H10" s="16"/>
      <c r="I10" s="7"/>
      <c r="J10" s="9"/>
      <c r="K10" s="9"/>
      <c r="L10" s="9"/>
      <c r="M10" s="9"/>
      <c r="N10" s="8" t="s">
        <v>8</v>
      </c>
      <c r="O10" s="5" t="s">
        <v>40</v>
      </c>
      <c r="P10" s="81">
        <f>R8/R6</f>
        <v>2.8786345234026687</v>
      </c>
      <c r="Q10" s="33" t="str">
        <f>IF(AND(P10&gt;=200%,P10&lt;300%)," &lt;== trend test required"," &lt;== no trend test required")</f>
        <v xml:space="preserve"> &lt;== trend test required</v>
      </c>
      <c r="AB10" s="8" t="s">
        <v>8</v>
      </c>
      <c r="AC10"/>
      <c r="AD10" s="9"/>
    </row>
    <row r="11" spans="1:30" ht="15" customHeight="1" x14ac:dyDescent="0.35">
      <c r="A11" s="9"/>
      <c r="B11" s="9"/>
      <c r="C11" s="77" t="s">
        <v>41</v>
      </c>
      <c r="D11" s="78"/>
      <c r="E11" s="79"/>
      <c r="F11" s="80">
        <v>5300</v>
      </c>
      <c r="H11" s="16"/>
      <c r="I11" s="7"/>
      <c r="J11" s="9"/>
      <c r="K11" s="9"/>
      <c r="L11" s="9"/>
      <c r="M11" s="9"/>
      <c r="N11" s="8" t="s">
        <v>8</v>
      </c>
      <c r="AB11" s="8" t="s">
        <v>8</v>
      </c>
      <c r="AC11"/>
      <c r="AD11" s="9"/>
    </row>
    <row r="12" spans="1:30" ht="15" customHeight="1" x14ac:dyDescent="0.35">
      <c r="A12" s="9"/>
      <c r="B12" s="9"/>
      <c r="C12" s="77" t="s">
        <v>42</v>
      </c>
      <c r="D12" s="78"/>
      <c r="E12" s="79"/>
      <c r="F12" s="80">
        <v>300</v>
      </c>
      <c r="H12" s="16"/>
      <c r="I12" s="7"/>
      <c r="J12" s="9"/>
      <c r="K12" s="9"/>
      <c r="L12" s="9"/>
      <c r="M12" s="9"/>
      <c r="N12" s="8" t="s">
        <v>8</v>
      </c>
      <c r="O12" s="5" t="s">
        <v>43</v>
      </c>
      <c r="P12" s="81">
        <f>IF(AND(P10&gt;=200%,P10&lt;300%),SUM(F5:F7),"")</f>
        <v>1.21</v>
      </c>
      <c r="Q12" s="33" t="s">
        <v>44</v>
      </c>
      <c r="AB12" s="8" t="s">
        <v>8</v>
      </c>
      <c r="AC12"/>
      <c r="AD12" s="9"/>
    </row>
    <row r="13" spans="1:30" ht="15" customHeight="1" x14ac:dyDescent="0.35">
      <c r="A13" s="9"/>
      <c r="B13" s="9"/>
      <c r="C13" s="77" t="s">
        <v>45</v>
      </c>
      <c r="D13" s="78"/>
      <c r="E13" s="79"/>
      <c r="F13" s="80">
        <v>5100</v>
      </c>
      <c r="H13" s="16"/>
      <c r="I13" s="7"/>
      <c r="J13" s="9"/>
      <c r="K13" s="9"/>
      <c r="L13" s="9"/>
      <c r="M13" s="9"/>
      <c r="N13" s="8" t="s">
        <v>8</v>
      </c>
      <c r="AB13" s="8" t="s">
        <v>8</v>
      </c>
      <c r="AC13" s="9"/>
      <c r="AD13" s="9"/>
    </row>
    <row r="14" spans="1:30" ht="15" customHeight="1" x14ac:dyDescent="0.35">
      <c r="A14" s="9"/>
      <c r="B14" s="9"/>
      <c r="C14" s="77" t="s">
        <v>46</v>
      </c>
      <c r="D14" s="78"/>
      <c r="E14" s="79"/>
      <c r="F14" s="80">
        <v>3000</v>
      </c>
      <c r="H14" s="16"/>
      <c r="I14" s="7"/>
      <c r="J14" s="9"/>
      <c r="K14" s="9"/>
      <c r="L14" s="9"/>
      <c r="M14" s="9"/>
      <c r="N14" s="8" t="s">
        <v>8</v>
      </c>
      <c r="O14" s="82" t="s">
        <v>47</v>
      </c>
      <c r="P14" s="82" t="s">
        <v>48</v>
      </c>
      <c r="Q14" s="82" t="s">
        <v>49</v>
      </c>
      <c r="R14" s="34" t="str">
        <f>IF(AND(Q15="",Q16="",Q17="",Q18="")," no action required","")</f>
        <v/>
      </c>
      <c r="S14" s="34"/>
      <c r="AB14" s="8" t="s">
        <v>8</v>
      </c>
      <c r="AC14" s="9"/>
      <c r="AD14" s="9"/>
    </row>
    <row r="15" spans="1:30" ht="15" customHeight="1" x14ac:dyDescent="0.35">
      <c r="C15" s="83" t="s">
        <v>50</v>
      </c>
      <c r="D15" s="84"/>
      <c r="E15" s="85"/>
      <c r="F15" s="86">
        <v>2600</v>
      </c>
      <c r="H15" s="16"/>
      <c r="I15" s="7"/>
      <c r="J15" s="9"/>
      <c r="K15" s="9"/>
      <c r="L15" s="9"/>
      <c r="M15" s="9"/>
      <c r="N15" s="8" t="s">
        <v>8</v>
      </c>
      <c r="O15" s="87" t="s">
        <v>51</v>
      </c>
      <c r="P15" s="88">
        <v>2</v>
      </c>
      <c r="Q15" s="89" t="str">
        <f>IF(OR(AND(P10&gt;=150%,P10&lt;200%),AND(P10&gt;=200%,P10&lt;300%,P12&gt;120%))," &lt;==","")</f>
        <v xml:space="preserve"> &lt;==</v>
      </c>
      <c r="AB15" s="8" t="s">
        <v>8</v>
      </c>
      <c r="AC15" s="9"/>
      <c r="AD15" s="9"/>
    </row>
    <row r="16" spans="1:30" ht="15" customHeight="1" x14ac:dyDescent="0.25">
      <c r="K16" s="9"/>
      <c r="L16" s="9"/>
      <c r="M16" s="9"/>
      <c r="N16" s="8" t="s">
        <v>8</v>
      </c>
      <c r="O16" s="90" t="s">
        <v>52</v>
      </c>
      <c r="P16" s="88">
        <v>1.5</v>
      </c>
      <c r="Q16" s="50" t="str">
        <f>IF(AND(P10&gt;=100%,P10&lt;150%)," &lt;==","")</f>
        <v/>
      </c>
      <c r="AB16" s="8" t="s">
        <v>8</v>
      </c>
      <c r="AC16" s="9"/>
      <c r="AD16" s="9"/>
    </row>
    <row r="17" spans="11:30" ht="15" customHeight="1" x14ac:dyDescent="0.25">
      <c r="K17" s="9"/>
      <c r="L17" s="9"/>
      <c r="M17" s="9"/>
      <c r="N17" s="8" t="s">
        <v>8</v>
      </c>
      <c r="O17" s="90" t="s">
        <v>53</v>
      </c>
      <c r="P17" s="88">
        <v>1</v>
      </c>
      <c r="Q17" s="50" t="str">
        <f>IF(AND(P10&gt;=70%,P10&lt;100%)," &lt;==","")</f>
        <v/>
      </c>
      <c r="AB17" s="8" t="s">
        <v>8</v>
      </c>
      <c r="AC17" s="9"/>
      <c r="AD17" s="9"/>
    </row>
    <row r="18" spans="11:30" ht="15" customHeight="1" x14ac:dyDescent="0.25">
      <c r="K18" s="9"/>
      <c r="L18" s="9"/>
      <c r="M18" s="9"/>
      <c r="N18" s="8" t="s">
        <v>8</v>
      </c>
      <c r="O18" s="91" t="s">
        <v>54</v>
      </c>
      <c r="P18" s="92">
        <v>0.7</v>
      </c>
      <c r="Q18" s="93" t="str">
        <f>IF(P10&lt;70%," &lt;==","")</f>
        <v/>
      </c>
      <c r="AB18" s="8" t="s">
        <v>8</v>
      </c>
      <c r="AC18" s="9"/>
      <c r="AD18" s="9"/>
    </row>
    <row r="19" spans="11:30" ht="15" customHeight="1" x14ac:dyDescent="0.25">
      <c r="K19" s="9"/>
      <c r="L19" s="9"/>
      <c r="M19" s="9"/>
      <c r="N19" s="8" t="s">
        <v>8</v>
      </c>
      <c r="AB19" s="8" t="s">
        <v>8</v>
      </c>
      <c r="AC19" s="9"/>
      <c r="AD19" s="9"/>
    </row>
    <row r="20" spans="11:30" ht="15" customHeight="1" x14ac:dyDescent="0.25">
      <c r="K20" s="9"/>
      <c r="L20" s="9"/>
      <c r="M20" s="9"/>
      <c r="N20" s="8" t="s">
        <v>8</v>
      </c>
      <c r="AB20" s="8" t="s">
        <v>8</v>
      </c>
      <c r="AC20" s="9"/>
      <c r="AD20" s="9"/>
    </row>
    <row r="21" spans="11:30" ht="15" customHeight="1" x14ac:dyDescent="0.25">
      <c r="K21" s="9"/>
      <c r="L21" s="9"/>
      <c r="M21" s="9"/>
      <c r="N21" s="8" t="s">
        <v>8</v>
      </c>
      <c r="AB21" s="8" t="s">
        <v>8</v>
      </c>
      <c r="AC21" s="9"/>
      <c r="AD21" s="9"/>
    </row>
    <row r="22" spans="11:30" ht="15" customHeight="1" x14ac:dyDescent="0.25">
      <c r="K22" s="9"/>
      <c r="L22" s="9"/>
      <c r="M22" s="9"/>
      <c r="N22" s="8" t="s">
        <v>8</v>
      </c>
      <c r="AB22" s="8" t="s">
        <v>8</v>
      </c>
      <c r="AC22" s="9"/>
      <c r="AD22" s="9"/>
    </row>
    <row r="23" spans="11:30" ht="15" customHeight="1" x14ac:dyDescent="0.25">
      <c r="K23" s="9"/>
      <c r="L23" s="9"/>
      <c r="M23" s="9"/>
      <c r="N23" s="8" t="s">
        <v>8</v>
      </c>
      <c r="AB23" s="8" t="s">
        <v>8</v>
      </c>
      <c r="AC23" s="9"/>
      <c r="AD23" s="9"/>
    </row>
    <row r="24" spans="11:30" ht="15" customHeight="1" x14ac:dyDescent="0.25">
      <c r="K24" s="9"/>
      <c r="L24" s="9"/>
      <c r="M24" s="9"/>
      <c r="N24" s="8" t="s">
        <v>8</v>
      </c>
      <c r="AB24" s="8" t="s">
        <v>8</v>
      </c>
      <c r="AC24" s="9"/>
      <c r="AD24" s="9"/>
    </row>
    <row r="25" spans="11:30" ht="15" customHeight="1" x14ac:dyDescent="0.25">
      <c r="K25" s="9"/>
      <c r="L25" s="9"/>
      <c r="M25" s="9"/>
      <c r="N25" s="8" t="s">
        <v>8</v>
      </c>
      <c r="AB25" s="8" t="s">
        <v>8</v>
      </c>
      <c r="AC25" s="9"/>
      <c r="AD25" s="9"/>
    </row>
    <row r="26" spans="11:30" ht="15" customHeight="1" x14ac:dyDescent="0.25">
      <c r="K26" s="9"/>
      <c r="L26" s="9"/>
      <c r="M26" s="9"/>
      <c r="N26" s="8" t="s">
        <v>8</v>
      </c>
      <c r="AB26" s="8" t="s">
        <v>8</v>
      </c>
      <c r="AC26" s="7"/>
      <c r="AD26" s="7"/>
    </row>
    <row r="27" spans="11:30" ht="15" customHeight="1" x14ac:dyDescent="0.25">
      <c r="K27" s="9"/>
      <c r="L27" s="9"/>
      <c r="M27" s="9"/>
      <c r="N27" s="8" t="s">
        <v>8</v>
      </c>
      <c r="AB27" s="8" t="s">
        <v>8</v>
      </c>
      <c r="AC27" s="7"/>
      <c r="AD27" s="7"/>
    </row>
    <row r="28" spans="11:30" ht="15" customHeight="1" x14ac:dyDescent="0.25">
      <c r="K28" s="9"/>
      <c r="L28" s="9"/>
      <c r="M28" s="9"/>
      <c r="N28" s="8" t="s">
        <v>8</v>
      </c>
      <c r="AB28" s="8" t="s">
        <v>8</v>
      </c>
      <c r="AC28" s="7"/>
      <c r="AD28" s="7"/>
    </row>
    <row r="29" spans="11:30" ht="15" customHeight="1" x14ac:dyDescent="0.25">
      <c r="K29" s="9"/>
      <c r="L29" s="9"/>
      <c r="M29" s="9"/>
      <c r="N29" s="8" t="s">
        <v>8</v>
      </c>
      <c r="AB29" s="8" t="s">
        <v>8</v>
      </c>
      <c r="AC29" s="7"/>
      <c r="AD29" s="7"/>
    </row>
    <row r="30" spans="11:30" ht="15" customHeight="1" x14ac:dyDescent="0.25">
      <c r="K30" s="9"/>
      <c r="L30" s="9"/>
      <c r="M30" s="9"/>
      <c r="N30" s="8" t="s">
        <v>8</v>
      </c>
      <c r="AB30" s="8" t="s">
        <v>8</v>
      </c>
      <c r="AC30" s="7"/>
      <c r="AD30" s="7"/>
    </row>
    <row r="31" spans="11:30" ht="15" customHeight="1" x14ac:dyDescent="0.25">
      <c r="K31" s="9"/>
      <c r="L31" s="9"/>
      <c r="M31" s="9"/>
      <c r="N31" s="8" t="s">
        <v>8</v>
      </c>
      <c r="AB31" s="8" t="s">
        <v>8</v>
      </c>
      <c r="AC31" s="7"/>
      <c r="AD31" s="7"/>
    </row>
    <row r="32" spans="11:30" ht="15" customHeight="1" x14ac:dyDescent="0.25">
      <c r="K32" s="18"/>
      <c r="L32" s="18"/>
      <c r="M32" s="18"/>
      <c r="N32" s="8" t="s">
        <v>8</v>
      </c>
      <c r="AB32" s="8" t="s">
        <v>8</v>
      </c>
      <c r="AC32" s="7"/>
      <c r="AD32" s="7"/>
    </row>
    <row r="33" spans="11:30" ht="15" customHeight="1" x14ac:dyDescent="0.25">
      <c r="K33" s="18"/>
      <c r="L33" s="18"/>
      <c r="M33" s="18"/>
      <c r="N33" s="8" t="s">
        <v>8</v>
      </c>
      <c r="AB33" s="8" t="s">
        <v>8</v>
      </c>
      <c r="AC33" s="7"/>
      <c r="AD33" s="7"/>
    </row>
    <row r="34" spans="11:30" ht="15" customHeight="1" x14ac:dyDescent="0.25">
      <c r="K34" s="18"/>
      <c r="L34" s="18"/>
      <c r="M34" s="18"/>
      <c r="N34" s="8" t="s">
        <v>8</v>
      </c>
      <c r="AB34" s="8" t="s">
        <v>8</v>
      </c>
      <c r="AC34" s="7"/>
      <c r="AD34" s="7"/>
    </row>
    <row r="35" spans="11:30" ht="15" customHeight="1" x14ac:dyDescent="0.25">
      <c r="K35" s="18"/>
      <c r="L35" s="18"/>
      <c r="M35" s="18"/>
      <c r="N35" s="8" t="s">
        <v>8</v>
      </c>
      <c r="AB35" s="8" t="s">
        <v>8</v>
      </c>
      <c r="AC35" s="7"/>
      <c r="AD35" s="7"/>
    </row>
    <row r="36" spans="11:30" ht="15" customHeight="1" x14ac:dyDescent="0.25">
      <c r="K36" s="18"/>
      <c r="L36" s="18"/>
      <c r="M36" s="18"/>
      <c r="N36" s="8" t="s">
        <v>8</v>
      </c>
      <c r="AB36" s="8" t="s">
        <v>8</v>
      </c>
      <c r="AC36" s="7"/>
      <c r="AD36" s="7"/>
    </row>
    <row r="37" spans="11:30" ht="15" customHeight="1" x14ac:dyDescent="0.25">
      <c r="K37" s="18"/>
      <c r="L37" s="18"/>
      <c r="M37" s="18"/>
      <c r="N37" s="8" t="s">
        <v>8</v>
      </c>
      <c r="AB37" s="8" t="s">
        <v>8</v>
      </c>
      <c r="AC37" s="7"/>
      <c r="AD37" s="7"/>
    </row>
    <row r="38" spans="11:30" ht="15" customHeight="1" x14ac:dyDescent="0.25">
      <c r="K38" s="18"/>
      <c r="L38" s="18"/>
      <c r="M38" s="18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</row>
    <row r="39" spans="11:30" ht="15" customHeight="1" x14ac:dyDescent="0.25"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</row>
    <row r="40" spans="11:30" ht="15" customHeight="1" x14ac:dyDescent="0.25">
      <c r="K40" s="18"/>
      <c r="L40" s="18"/>
      <c r="M40" s="18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</row>
    <row r="41" spans="11:30" ht="15" customHeight="1" x14ac:dyDescent="0.25">
      <c r="K41" s="18"/>
      <c r="L41" s="18"/>
      <c r="M41" s="18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</row>
    <row r="42" spans="11:30" ht="15" customHeight="1" x14ac:dyDescent="0.25">
      <c r="K42" s="18"/>
      <c r="L42" s="18"/>
      <c r="M42" s="18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</row>
    <row r="43" spans="11:30" ht="15" customHeight="1" x14ac:dyDescent="0.25">
      <c r="K43" s="18"/>
      <c r="L43" s="18"/>
      <c r="M43" s="18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</row>
    <row r="44" spans="11:30" ht="15" customHeight="1" x14ac:dyDescent="0.25">
      <c r="K44" s="18"/>
      <c r="L44" s="18"/>
      <c r="M44" s="18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</row>
    <row r="45" spans="11:30" ht="15" customHeight="1" x14ac:dyDescent="0.25">
      <c r="K45" s="18"/>
      <c r="L45" s="18"/>
      <c r="M45" s="18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</row>
    <row r="46" spans="11:30" ht="15" customHeight="1" x14ac:dyDescent="0.25">
      <c r="K46" s="18"/>
      <c r="L46" s="18"/>
      <c r="M46" s="18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</row>
    <row r="47" spans="11:30" ht="15" customHeight="1" x14ac:dyDescent="0.25">
      <c r="K47" s="18"/>
      <c r="L47" s="18"/>
      <c r="M47" s="18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</row>
    <row r="48" spans="11:30" ht="15" customHeight="1" x14ac:dyDescent="0.25">
      <c r="K48" s="18"/>
      <c r="L48" s="18"/>
      <c r="M48" s="18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</row>
    <row r="49" spans="1:30" ht="15" customHeight="1" x14ac:dyDescent="0.25">
      <c r="K49" s="18"/>
      <c r="L49" s="18"/>
      <c r="M49" s="18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</row>
    <row r="50" spans="1:30" ht="15" customHeight="1" x14ac:dyDescent="0.25">
      <c r="K50" s="18"/>
      <c r="L50" s="18"/>
      <c r="M50" s="18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:30" ht="15" customHeight="1" x14ac:dyDescent="0.25">
      <c r="K51" s="18"/>
      <c r="L51" s="18"/>
      <c r="M51" s="18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:30" ht="15" customHeight="1" x14ac:dyDescent="0.25">
      <c r="K52" s="18"/>
      <c r="L52" s="18"/>
      <c r="M52" s="18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:30" ht="15" customHeight="1" x14ac:dyDescent="0.25">
      <c r="K53" s="18"/>
      <c r="L53" s="18"/>
      <c r="M53" s="18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:30" ht="15" customHeight="1" x14ac:dyDescent="0.25">
      <c r="K54" s="18"/>
      <c r="L54" s="18"/>
      <c r="M54" s="18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:30" ht="15" customHeight="1" x14ac:dyDescent="0.25">
      <c r="K55" s="18"/>
      <c r="L55" s="18"/>
      <c r="M55" s="18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:30" ht="15" customHeight="1" x14ac:dyDescent="0.25">
      <c r="K56" s="18"/>
      <c r="L56" s="18"/>
      <c r="M56" s="18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:30" ht="15" customHeight="1" x14ac:dyDescent="0.25">
      <c r="K57" s="18"/>
      <c r="L57" s="18"/>
      <c r="M57" s="18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:30" ht="15" customHeight="1" x14ac:dyDescent="0.25">
      <c r="K58" s="18"/>
      <c r="L58" s="18"/>
      <c r="M58" s="18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:3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8"/>
      <c r="K59" s="18"/>
      <c r="L59" s="18"/>
      <c r="M59" s="18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D1" s="8" t="s">
        <v>8</v>
      </c>
    </row>
    <row r="2" spans="1:30" ht="15" customHeight="1" x14ac:dyDescent="0.25">
      <c r="A2" s="5" t="s">
        <v>4</v>
      </c>
      <c r="C2" s="6" t="s">
        <v>55</v>
      </c>
      <c r="N2" s="25" t="s">
        <v>8</v>
      </c>
      <c r="AD2" s="8" t="s">
        <v>8</v>
      </c>
    </row>
    <row r="3" spans="1:30" ht="15" customHeight="1" x14ac:dyDescent="0.25">
      <c r="A3" s="5" t="s">
        <v>5</v>
      </c>
      <c r="C3" s="6" t="s">
        <v>56</v>
      </c>
      <c r="N3" s="25" t="s">
        <v>8</v>
      </c>
      <c r="AD3" s="8" t="s">
        <v>8</v>
      </c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U4" s="94" t="s">
        <v>57</v>
      </c>
      <c r="V4" s="95" t="s">
        <v>58</v>
      </c>
      <c r="W4" s="95" t="s">
        <v>59</v>
      </c>
      <c r="X4" s="96" t="s">
        <v>16</v>
      </c>
      <c r="Y4" s="97" t="s">
        <v>60</v>
      </c>
      <c r="Z4" s="98" t="s">
        <v>61</v>
      </c>
      <c r="AB4" s="9"/>
      <c r="AC4" s="9"/>
      <c r="AD4" s="8" t="s">
        <v>8</v>
      </c>
    </row>
    <row r="5" spans="1:30" ht="15" customHeight="1" x14ac:dyDescent="0.35">
      <c r="A5" s="19" t="s">
        <v>6</v>
      </c>
      <c r="C5" s="99" t="s">
        <v>62</v>
      </c>
      <c r="D5" s="100"/>
      <c r="E5" s="100"/>
      <c r="F5" s="100"/>
      <c r="G5" s="101"/>
      <c r="H5" s="102" t="s">
        <v>63</v>
      </c>
      <c r="K5" s="9"/>
      <c r="L5" s="9"/>
      <c r="M5" s="9"/>
      <c r="N5" s="8" t="s">
        <v>8</v>
      </c>
      <c r="O5" s="99" t="s">
        <v>62</v>
      </c>
      <c r="P5" s="100"/>
      <c r="Q5" s="100"/>
      <c r="R5" s="100"/>
      <c r="S5" s="101"/>
      <c r="T5" s="103" t="s">
        <v>63</v>
      </c>
      <c r="U5" s="104" t="s">
        <v>64</v>
      </c>
      <c r="V5" s="104" t="s">
        <v>65</v>
      </c>
      <c r="W5" s="104" t="s">
        <v>66</v>
      </c>
      <c r="X5" s="104" t="s">
        <v>67</v>
      </c>
      <c r="Y5" s="105" t="s">
        <v>68</v>
      </c>
      <c r="Z5" s="104" t="s">
        <v>69</v>
      </c>
      <c r="AB5" s="9"/>
      <c r="AC5" s="9"/>
      <c r="AD5" s="8" t="s">
        <v>8</v>
      </c>
    </row>
    <row r="6" spans="1:30" ht="15" customHeight="1" x14ac:dyDescent="0.25">
      <c r="A6" s="27"/>
      <c r="C6" s="61" t="s">
        <v>70</v>
      </c>
      <c r="D6" s="62"/>
      <c r="E6" s="62"/>
      <c r="F6" s="62"/>
      <c r="G6" s="63"/>
      <c r="H6" s="106">
        <v>1400</v>
      </c>
      <c r="K6" s="9"/>
      <c r="L6" s="9"/>
      <c r="M6" s="9"/>
      <c r="N6" s="8" t="s">
        <v>8</v>
      </c>
      <c r="O6" s="61" t="s">
        <v>70</v>
      </c>
      <c r="P6" s="62"/>
      <c r="Q6" s="62"/>
      <c r="R6" s="62"/>
      <c r="S6" s="63"/>
      <c r="T6" s="107">
        <f>H6</f>
        <v>1400</v>
      </c>
      <c r="U6" s="108"/>
      <c r="V6" s="109"/>
      <c r="W6" s="109"/>
      <c r="X6" s="110">
        <v>1</v>
      </c>
      <c r="Y6" s="111"/>
      <c r="Z6" s="112"/>
      <c r="AB6" s="9"/>
      <c r="AC6" s="9"/>
      <c r="AD6" s="8" t="s">
        <v>8</v>
      </c>
    </row>
    <row r="7" spans="1:30" ht="15" customHeight="1" x14ac:dyDescent="0.25">
      <c r="C7" s="61" t="s">
        <v>71</v>
      </c>
      <c r="D7" s="62"/>
      <c r="E7" s="62"/>
      <c r="F7" s="62"/>
      <c r="G7" s="63"/>
      <c r="H7" s="106">
        <v>3100</v>
      </c>
      <c r="K7" s="9"/>
      <c r="L7" s="9"/>
      <c r="M7" s="9"/>
      <c r="N7" s="8" t="s">
        <v>8</v>
      </c>
      <c r="O7" s="61" t="s">
        <v>71</v>
      </c>
      <c r="P7" s="62"/>
      <c r="Q7" s="62"/>
      <c r="R7" s="62"/>
      <c r="S7" s="63"/>
      <c r="T7" s="107">
        <f t="shared" ref="T7:T18" si="0">H7</f>
        <v>3100</v>
      </c>
      <c r="U7" s="108"/>
      <c r="V7" s="109"/>
      <c r="W7" s="109"/>
      <c r="X7" s="110">
        <v>1</v>
      </c>
      <c r="Y7" s="108"/>
      <c r="Z7" s="110"/>
      <c r="AB7" s="9"/>
      <c r="AC7" s="9"/>
      <c r="AD7" s="8" t="s">
        <v>8</v>
      </c>
    </row>
    <row r="8" spans="1:30" ht="15" customHeight="1" x14ac:dyDescent="0.25">
      <c r="A8" s="19"/>
      <c r="B8" s="9"/>
      <c r="C8" s="61" t="s">
        <v>72</v>
      </c>
      <c r="D8" s="62"/>
      <c r="E8" s="62"/>
      <c r="F8" s="62"/>
      <c r="G8" s="63"/>
      <c r="H8" s="106">
        <v>5200</v>
      </c>
      <c r="K8" s="9"/>
      <c r="L8" s="9"/>
      <c r="M8" s="9"/>
      <c r="N8" s="8" t="s">
        <v>8</v>
      </c>
      <c r="O8" s="61" t="s">
        <v>72</v>
      </c>
      <c r="P8" s="62"/>
      <c r="Q8" s="62"/>
      <c r="R8" s="62"/>
      <c r="S8" s="63"/>
      <c r="T8" s="107">
        <f t="shared" si="0"/>
        <v>5200</v>
      </c>
      <c r="U8" s="108"/>
      <c r="V8" s="109"/>
      <c r="W8" s="109"/>
      <c r="X8" s="110">
        <v>1</v>
      </c>
      <c r="Y8" s="108"/>
      <c r="Z8" s="110"/>
      <c r="AB8" s="9"/>
      <c r="AC8" s="9"/>
      <c r="AD8" s="8" t="s">
        <v>8</v>
      </c>
    </row>
    <row r="9" spans="1:30" ht="15" customHeight="1" x14ac:dyDescent="0.25">
      <c r="A9" s="9"/>
      <c r="B9" s="9"/>
      <c r="C9" s="65" t="s">
        <v>73</v>
      </c>
      <c r="D9" s="66"/>
      <c r="E9" s="66"/>
      <c r="F9" s="66"/>
      <c r="G9" s="67"/>
      <c r="H9" s="113">
        <v>13000</v>
      </c>
      <c r="K9" s="9"/>
      <c r="L9" s="9"/>
      <c r="M9" s="9"/>
      <c r="N9" s="8" t="s">
        <v>8</v>
      </c>
      <c r="O9" s="65" t="s">
        <v>73</v>
      </c>
      <c r="P9" s="66"/>
      <c r="Q9" s="66"/>
      <c r="R9" s="66"/>
      <c r="S9" s="67"/>
      <c r="T9" s="114">
        <f t="shared" si="0"/>
        <v>13000</v>
      </c>
      <c r="U9" s="115"/>
      <c r="V9" s="116"/>
      <c r="W9" s="116"/>
      <c r="X9" s="117">
        <v>0.5</v>
      </c>
      <c r="Y9" s="115">
        <v>0.5</v>
      </c>
      <c r="Z9" s="117"/>
      <c r="AB9" s="9"/>
      <c r="AC9" s="9"/>
      <c r="AD9" s="8" t="s">
        <v>8</v>
      </c>
    </row>
    <row r="10" spans="1:30" ht="15" customHeight="1" x14ac:dyDescent="0.25">
      <c r="A10" s="9"/>
      <c r="B10" s="9"/>
      <c r="C10" s="57" t="s">
        <v>74</v>
      </c>
      <c r="D10" s="58"/>
      <c r="E10" s="58"/>
      <c r="F10" s="58"/>
      <c r="G10" s="59"/>
      <c r="H10" s="118">
        <v>25900</v>
      </c>
      <c r="K10" s="9"/>
      <c r="L10" s="9"/>
      <c r="M10" s="9"/>
      <c r="N10" s="8" t="s">
        <v>8</v>
      </c>
      <c r="O10" s="57" t="s">
        <v>74</v>
      </c>
      <c r="P10" s="58"/>
      <c r="Q10" s="58"/>
      <c r="R10" s="58"/>
      <c r="S10" s="59"/>
      <c r="T10" s="119">
        <f t="shared" si="0"/>
        <v>25900</v>
      </c>
      <c r="U10" s="111"/>
      <c r="V10" s="120"/>
      <c r="W10" s="120"/>
      <c r="X10" s="112"/>
      <c r="Y10" s="111">
        <v>1</v>
      </c>
      <c r="Z10" s="112"/>
      <c r="AB10" s="9"/>
      <c r="AC10" s="9"/>
      <c r="AD10" s="8" t="s">
        <v>8</v>
      </c>
    </row>
    <row r="11" spans="1:30" ht="15" customHeight="1" x14ac:dyDescent="0.25">
      <c r="A11" s="9"/>
      <c r="B11" s="9"/>
      <c r="C11" s="65" t="s">
        <v>75</v>
      </c>
      <c r="D11" s="66"/>
      <c r="E11" s="66"/>
      <c r="F11" s="66"/>
      <c r="G11" s="67"/>
      <c r="H11" s="113">
        <v>51400</v>
      </c>
      <c r="K11" s="9"/>
      <c r="L11" s="9"/>
      <c r="M11" s="9"/>
      <c r="N11" s="8" t="s">
        <v>8</v>
      </c>
      <c r="O11" s="65" t="s">
        <v>75</v>
      </c>
      <c r="P11" s="66"/>
      <c r="Q11" s="66"/>
      <c r="R11" s="66"/>
      <c r="S11" s="67"/>
      <c r="T11" s="114">
        <f t="shared" si="0"/>
        <v>51400</v>
      </c>
      <c r="U11" s="115"/>
      <c r="V11" s="116"/>
      <c r="W11" s="116"/>
      <c r="X11" s="117"/>
      <c r="Y11" s="115"/>
      <c r="Z11" s="117">
        <v>1</v>
      </c>
      <c r="AB11" s="9"/>
      <c r="AC11" s="9"/>
      <c r="AD11" s="8" t="s">
        <v>8</v>
      </c>
    </row>
    <row r="12" spans="1:30" ht="15" customHeight="1" x14ac:dyDescent="0.25">
      <c r="A12" s="9"/>
      <c r="B12" s="9"/>
      <c r="C12" s="61" t="s">
        <v>76</v>
      </c>
      <c r="D12" s="62"/>
      <c r="E12" s="62"/>
      <c r="F12" s="62"/>
      <c r="G12" s="63"/>
      <c r="H12" s="106">
        <v>6400</v>
      </c>
      <c r="K12" s="9"/>
      <c r="L12" s="9"/>
      <c r="M12" s="9"/>
      <c r="N12" s="8" t="s">
        <v>8</v>
      </c>
      <c r="O12" s="61" t="s">
        <v>76</v>
      </c>
      <c r="P12" s="62"/>
      <c r="Q12" s="62"/>
      <c r="R12" s="62"/>
      <c r="S12" s="63"/>
      <c r="T12" s="107">
        <f t="shared" si="0"/>
        <v>6400</v>
      </c>
      <c r="U12" s="108"/>
      <c r="V12" s="109">
        <v>1</v>
      </c>
      <c r="W12" s="109"/>
      <c r="X12" s="110"/>
      <c r="Y12" s="108"/>
      <c r="Z12" s="110"/>
      <c r="AB12" s="9"/>
      <c r="AC12" s="9"/>
      <c r="AD12" s="8" t="s">
        <v>8</v>
      </c>
    </row>
    <row r="13" spans="1:30" ht="15" customHeight="1" x14ac:dyDescent="0.25">
      <c r="A13" s="9"/>
      <c r="B13" s="9"/>
      <c r="C13" s="61" t="s">
        <v>77</v>
      </c>
      <c r="D13" s="62"/>
      <c r="E13" s="62"/>
      <c r="F13" s="62"/>
      <c r="G13" s="63"/>
      <c r="H13" s="106">
        <v>16000</v>
      </c>
      <c r="K13" s="9"/>
      <c r="L13" s="9"/>
      <c r="M13" s="9"/>
      <c r="N13" s="8" t="s">
        <v>8</v>
      </c>
      <c r="O13" s="61" t="s">
        <v>77</v>
      </c>
      <c r="P13" s="62"/>
      <c r="Q13" s="62"/>
      <c r="R13" s="62"/>
      <c r="S13" s="63"/>
      <c r="T13" s="107">
        <f t="shared" si="0"/>
        <v>16000</v>
      </c>
      <c r="U13" s="108"/>
      <c r="V13" s="109">
        <v>1</v>
      </c>
      <c r="W13" s="109"/>
      <c r="X13" s="110"/>
      <c r="Y13" s="108"/>
      <c r="Z13" s="110"/>
      <c r="AB13" s="9"/>
      <c r="AC13" s="9"/>
      <c r="AD13" s="8" t="s">
        <v>8</v>
      </c>
    </row>
    <row r="14" spans="1:30" ht="15" customHeight="1" x14ac:dyDescent="0.25">
      <c r="A14" s="9"/>
      <c r="B14" s="9"/>
      <c r="C14" s="57" t="s">
        <v>78</v>
      </c>
      <c r="D14" s="58"/>
      <c r="E14" s="58"/>
      <c r="F14" s="58"/>
      <c r="G14" s="59"/>
      <c r="H14" s="118">
        <v>24800</v>
      </c>
      <c r="K14" s="9"/>
      <c r="L14" s="9"/>
      <c r="M14" s="9"/>
      <c r="N14" s="8" t="s">
        <v>8</v>
      </c>
      <c r="O14" s="57" t="s">
        <v>78</v>
      </c>
      <c r="P14" s="58"/>
      <c r="Q14" s="58"/>
      <c r="R14" s="58"/>
      <c r="S14" s="59"/>
      <c r="T14" s="119">
        <f t="shared" si="0"/>
        <v>24800</v>
      </c>
      <c r="U14" s="111"/>
      <c r="V14" s="120"/>
      <c r="W14" s="120">
        <v>1</v>
      </c>
      <c r="X14" s="112"/>
      <c r="Y14" s="111"/>
      <c r="Z14" s="112"/>
      <c r="AB14" s="9"/>
      <c r="AC14" s="9"/>
      <c r="AD14" s="8" t="s">
        <v>8</v>
      </c>
    </row>
    <row r="15" spans="1:30" ht="15" customHeight="1" x14ac:dyDescent="0.25">
      <c r="C15" s="61" t="s">
        <v>79</v>
      </c>
      <c r="D15" s="62"/>
      <c r="E15" s="62"/>
      <c r="F15" s="62"/>
      <c r="G15" s="63"/>
      <c r="H15" s="106">
        <v>5000</v>
      </c>
      <c r="K15" s="9"/>
      <c r="L15" s="9"/>
      <c r="M15" s="9"/>
      <c r="N15" s="8" t="s">
        <v>8</v>
      </c>
      <c r="O15" s="61" t="s">
        <v>79</v>
      </c>
      <c r="P15" s="62"/>
      <c r="Q15" s="62"/>
      <c r="R15" s="62"/>
      <c r="S15" s="63"/>
      <c r="T15" s="107">
        <f t="shared" si="0"/>
        <v>5000</v>
      </c>
      <c r="U15" s="108"/>
      <c r="V15" s="109"/>
      <c r="W15" s="109">
        <v>1</v>
      </c>
      <c r="X15" s="110"/>
      <c r="Y15" s="108"/>
      <c r="Z15" s="110"/>
      <c r="AB15" s="9"/>
      <c r="AC15" s="9"/>
      <c r="AD15" s="8" t="s">
        <v>8</v>
      </c>
    </row>
    <row r="16" spans="1:30" ht="15" customHeight="1" x14ac:dyDescent="0.25">
      <c r="C16" s="65" t="s">
        <v>80</v>
      </c>
      <c r="D16" s="66"/>
      <c r="E16" s="66"/>
      <c r="F16" s="66"/>
      <c r="G16" s="67"/>
      <c r="H16" s="113">
        <v>15400</v>
      </c>
      <c r="K16" s="9"/>
      <c r="L16" s="9"/>
      <c r="M16" s="9"/>
      <c r="N16" s="8" t="s">
        <v>8</v>
      </c>
      <c r="O16" s="121" t="s">
        <v>80</v>
      </c>
      <c r="P16" s="122"/>
      <c r="Q16" s="122"/>
      <c r="R16" s="122"/>
      <c r="S16" s="123"/>
      <c r="T16" s="124">
        <f t="shared" si="0"/>
        <v>15400</v>
      </c>
      <c r="U16" s="125"/>
      <c r="V16" s="126"/>
      <c r="W16" s="126">
        <v>1</v>
      </c>
      <c r="X16" s="127"/>
      <c r="Y16" s="125"/>
      <c r="Z16" s="127"/>
      <c r="AB16" s="9"/>
      <c r="AC16" s="9"/>
      <c r="AD16" s="8" t="s">
        <v>8</v>
      </c>
    </row>
    <row r="17" spans="1:30" ht="15" customHeight="1" x14ac:dyDescent="0.25">
      <c r="C17" s="61" t="s">
        <v>81</v>
      </c>
      <c r="D17" s="62"/>
      <c r="E17" s="62"/>
      <c r="F17" s="62"/>
      <c r="G17" s="63"/>
      <c r="H17" s="106">
        <v>12500</v>
      </c>
      <c r="K17" s="9"/>
      <c r="L17" s="9"/>
      <c r="M17" s="9"/>
      <c r="N17" s="8" t="s">
        <v>8</v>
      </c>
      <c r="O17" s="61" t="s">
        <v>81</v>
      </c>
      <c r="P17" s="62"/>
      <c r="Q17" s="62"/>
      <c r="R17" s="62"/>
      <c r="S17" s="63"/>
      <c r="T17" s="107">
        <f t="shared" si="0"/>
        <v>12500</v>
      </c>
      <c r="U17" s="108"/>
      <c r="V17" s="109">
        <v>1</v>
      </c>
      <c r="W17" s="109"/>
      <c r="X17" s="110"/>
      <c r="Y17" s="108"/>
      <c r="Z17" s="110"/>
      <c r="AB17" s="9"/>
      <c r="AC17" s="9"/>
      <c r="AD17" s="8" t="s">
        <v>8</v>
      </c>
    </row>
    <row r="18" spans="1:30" ht="15" customHeight="1" x14ac:dyDescent="0.25">
      <c r="C18" s="65" t="s">
        <v>82</v>
      </c>
      <c r="D18" s="66"/>
      <c r="E18" s="66"/>
      <c r="F18" s="66"/>
      <c r="G18" s="67"/>
      <c r="H18" s="113">
        <v>400</v>
      </c>
      <c r="K18" s="9"/>
      <c r="L18" s="9"/>
      <c r="M18" s="9"/>
      <c r="N18" s="8" t="s">
        <v>8</v>
      </c>
      <c r="O18" s="65" t="s">
        <v>82</v>
      </c>
      <c r="P18" s="66"/>
      <c r="Q18" s="66"/>
      <c r="R18" s="66"/>
      <c r="S18" s="67"/>
      <c r="T18" s="114">
        <f t="shared" si="0"/>
        <v>400</v>
      </c>
      <c r="U18" s="108">
        <v>1</v>
      </c>
      <c r="V18" s="109"/>
      <c r="W18" s="109"/>
      <c r="X18" s="110"/>
      <c r="Y18" s="108"/>
      <c r="Z18" s="110"/>
      <c r="AB18" s="9"/>
      <c r="AC18" s="9"/>
      <c r="AD18" s="8" t="s">
        <v>8</v>
      </c>
    </row>
    <row r="19" spans="1:30" ht="15" customHeight="1" x14ac:dyDescent="0.25">
      <c r="K19" s="9"/>
      <c r="L19" s="9"/>
      <c r="M19" s="9"/>
      <c r="N19" s="8" t="s">
        <v>8</v>
      </c>
      <c r="T19" s="128" t="s">
        <v>83</v>
      </c>
      <c r="U19" s="129">
        <f>SUMPRODUCT(T6:T18,U6:U18)</f>
        <v>400</v>
      </c>
      <c r="V19" s="130">
        <f>SUMPRODUCT(T6:T18,V6:V18)</f>
        <v>34900</v>
      </c>
      <c r="W19" s="130">
        <f>SUMPRODUCT(T6:T18,W6:W18)</f>
        <v>45200</v>
      </c>
      <c r="X19" s="131">
        <f>SUMPRODUCT(T6:T18,X6:X18)</f>
        <v>16200</v>
      </c>
      <c r="Y19" s="129">
        <f>SUMPRODUCT(T6:T18,Y6:Y18)</f>
        <v>32400</v>
      </c>
      <c r="Z19" s="131">
        <f>SUMPRODUCT(T6:T18,Z6:Z18)</f>
        <v>51400</v>
      </c>
      <c r="AB19" s="9"/>
      <c r="AC19" s="9"/>
      <c r="AD19" s="8" t="s">
        <v>8</v>
      </c>
    </row>
    <row r="20" spans="1:30" ht="15" customHeight="1" x14ac:dyDescent="0.25">
      <c r="C20" s="132" t="s">
        <v>84</v>
      </c>
      <c r="D20" s="58"/>
      <c r="E20" s="58"/>
      <c r="F20" s="58"/>
      <c r="G20" s="58"/>
      <c r="H20" s="133">
        <v>10100</v>
      </c>
      <c r="K20" s="9"/>
      <c r="L20" s="9"/>
      <c r="M20" s="9"/>
      <c r="N20" s="8" t="s">
        <v>8</v>
      </c>
      <c r="U20" s="25"/>
      <c r="V20" s="25"/>
      <c r="W20" s="25"/>
      <c r="X20" s="25"/>
      <c r="Y20" s="25"/>
      <c r="Z20" s="25"/>
      <c r="AB20" s="9"/>
      <c r="AC20" s="9"/>
      <c r="AD20" s="8" t="s">
        <v>8</v>
      </c>
    </row>
    <row r="21" spans="1:30" ht="15" customHeight="1" x14ac:dyDescent="0.25">
      <c r="C21" s="134" t="s">
        <v>85</v>
      </c>
      <c r="D21" s="66"/>
      <c r="E21" s="66"/>
      <c r="F21" s="66"/>
      <c r="G21" s="66"/>
      <c r="H21" s="135">
        <v>9600</v>
      </c>
      <c r="N21" s="8" t="s">
        <v>8</v>
      </c>
      <c r="S21" s="136" t="s">
        <v>86</v>
      </c>
      <c r="T21" s="137">
        <f>SUM(T6:T18)</f>
        <v>180500</v>
      </c>
      <c r="U21" s="7"/>
      <c r="V21" s="7"/>
      <c r="W21" s="7"/>
      <c r="X21" s="7"/>
      <c r="Y21" s="7"/>
      <c r="Z21" s="7"/>
      <c r="AB21" s="9"/>
      <c r="AC21" s="9"/>
      <c r="AD21" s="8" t="s">
        <v>8</v>
      </c>
    </row>
    <row r="22" spans="1:30" ht="15" customHeight="1" x14ac:dyDescent="0.25">
      <c r="N22" s="8" t="s">
        <v>8</v>
      </c>
      <c r="S22" s="138" t="s">
        <v>86</v>
      </c>
      <c r="T22" s="130">
        <f>SUM(U19:Z19)</f>
        <v>180500</v>
      </c>
      <c r="AB22" s="9"/>
      <c r="AC22" s="9"/>
      <c r="AD22" s="8" t="s">
        <v>8</v>
      </c>
    </row>
    <row r="23" spans="1:30" ht="15" customHeight="1" x14ac:dyDescent="0.25">
      <c r="A23" s="5" t="s">
        <v>9</v>
      </c>
      <c r="B23" s="25" t="s">
        <v>12</v>
      </c>
      <c r="C23" s="139" t="s">
        <v>87</v>
      </c>
      <c r="K23" s="9"/>
      <c r="L23" s="9"/>
      <c r="M23" s="9"/>
      <c r="N23" s="8" t="s">
        <v>8</v>
      </c>
      <c r="S23" s="136" t="s">
        <v>88</v>
      </c>
      <c r="T23" s="7">
        <f>T21-T22</f>
        <v>0</v>
      </c>
      <c r="AB23" s="9"/>
      <c r="AC23" s="9"/>
      <c r="AD23" s="8" t="s">
        <v>8</v>
      </c>
    </row>
    <row r="24" spans="1:30" ht="15" customHeight="1" x14ac:dyDescent="0.25">
      <c r="B24" s="25" t="s">
        <v>13</v>
      </c>
      <c r="C24" s="139" t="s">
        <v>89</v>
      </c>
      <c r="K24" s="9"/>
      <c r="L24" s="9"/>
      <c r="M24" s="9"/>
      <c r="N24" s="8" t="s">
        <v>8</v>
      </c>
      <c r="AB24" s="9"/>
      <c r="AC24" s="9"/>
      <c r="AD24" s="8" t="s">
        <v>8</v>
      </c>
    </row>
    <row r="25" spans="1:30" ht="15" customHeight="1" x14ac:dyDescent="0.35">
      <c r="K25" s="9"/>
      <c r="L25" s="9"/>
      <c r="M25" s="9"/>
      <c r="N25" s="8" t="s">
        <v>8</v>
      </c>
      <c r="O25" s="6" t="s">
        <v>90</v>
      </c>
      <c r="T25" s="37">
        <f>U19+SQRT(V19^2+W19^2+X19^2+Y19^2+Z19^2)</f>
        <v>85342.392243213864</v>
      </c>
      <c r="U25" s="5" t="s">
        <v>91</v>
      </c>
      <c r="AB25" s="9"/>
      <c r="AC25" s="9"/>
      <c r="AD25" s="8" t="s">
        <v>8</v>
      </c>
    </row>
    <row r="26" spans="1:30" ht="15" customHeight="1" x14ac:dyDescent="0.25">
      <c r="A26" s="5" t="s">
        <v>92</v>
      </c>
      <c r="C26" s="139" t="s">
        <v>93</v>
      </c>
      <c r="K26" s="9"/>
      <c r="L26" s="9"/>
      <c r="M26" s="9"/>
      <c r="N26" s="8" t="s">
        <v>8</v>
      </c>
      <c r="U26" s="6" t="s">
        <v>94</v>
      </c>
      <c r="AB26" s="7"/>
      <c r="AC26" s="7"/>
      <c r="AD26" s="8" t="s">
        <v>8</v>
      </c>
    </row>
    <row r="27" spans="1:30" ht="15" customHeight="1" x14ac:dyDescent="0.25">
      <c r="C27" s="139" t="s">
        <v>95</v>
      </c>
      <c r="K27" s="9"/>
      <c r="L27" s="9"/>
      <c r="M27" s="9"/>
      <c r="N27" s="8" t="s">
        <v>8</v>
      </c>
      <c r="O27" s="140" t="s">
        <v>96</v>
      </c>
      <c r="AB27" s="7"/>
      <c r="AC27" s="7"/>
      <c r="AD27" s="8" t="s">
        <v>8</v>
      </c>
    </row>
    <row r="28" spans="1:30" ht="15" customHeight="1" x14ac:dyDescent="0.25">
      <c r="A28" s="5"/>
      <c r="C28" s="141" t="s">
        <v>97</v>
      </c>
      <c r="K28" s="9"/>
      <c r="L28" s="9"/>
      <c r="M28" s="9"/>
      <c r="N28" s="8" t="s">
        <v>8</v>
      </c>
      <c r="AB28" s="7"/>
      <c r="AC28" s="7"/>
      <c r="AD28" s="8" t="s">
        <v>8</v>
      </c>
    </row>
    <row r="29" spans="1:30" ht="15" customHeight="1" x14ac:dyDescent="0.25">
      <c r="C29" s="139"/>
      <c r="K29" s="9"/>
      <c r="L29" s="9"/>
      <c r="M29" s="9"/>
      <c r="N29" s="8" t="s">
        <v>8</v>
      </c>
      <c r="O29" s="6" t="s">
        <v>98</v>
      </c>
      <c r="P29" s="36" t="s">
        <v>99</v>
      </c>
      <c r="S29" s="23" t="s">
        <v>10</v>
      </c>
      <c r="T29" s="19">
        <f>H20</f>
        <v>10100</v>
      </c>
      <c r="U29" s="35" t="s">
        <v>100</v>
      </c>
      <c r="AB29" s="7"/>
      <c r="AC29" s="7"/>
      <c r="AD29" s="8" t="s">
        <v>8</v>
      </c>
    </row>
    <row r="30" spans="1:30" ht="15" customHeight="1" x14ac:dyDescent="0.25">
      <c r="A30" s="5" t="s">
        <v>18</v>
      </c>
      <c r="C30" s="139" t="s">
        <v>101</v>
      </c>
      <c r="K30" s="9"/>
      <c r="L30" s="9"/>
      <c r="M30" s="9"/>
      <c r="N30" s="8" t="s">
        <v>8</v>
      </c>
      <c r="O30" s="6" t="s">
        <v>102</v>
      </c>
      <c r="P30" s="36" t="s">
        <v>103</v>
      </c>
      <c r="S30" s="23" t="s">
        <v>10</v>
      </c>
      <c r="T30" s="19">
        <f>H21</f>
        <v>9600</v>
      </c>
      <c r="U30" s="35" t="s">
        <v>100</v>
      </c>
      <c r="AB30" s="7"/>
      <c r="AC30" s="7"/>
      <c r="AD30" s="8" t="s">
        <v>8</v>
      </c>
    </row>
    <row r="31" spans="1:30" ht="15" customHeight="1" x14ac:dyDescent="0.25">
      <c r="C31" s="139" t="s">
        <v>104</v>
      </c>
      <c r="K31" s="9"/>
      <c r="L31" s="9"/>
      <c r="M31" s="9"/>
      <c r="N31" s="8" t="s">
        <v>8</v>
      </c>
      <c r="AB31" s="7"/>
      <c r="AC31" s="7"/>
      <c r="AD31" s="8" t="s">
        <v>8</v>
      </c>
    </row>
    <row r="32" spans="1:30" ht="15" customHeight="1" x14ac:dyDescent="0.25">
      <c r="K32" s="9"/>
      <c r="L32" s="9"/>
      <c r="M32" s="9"/>
      <c r="N32" s="8" t="s">
        <v>8</v>
      </c>
      <c r="O32" s="6" t="s">
        <v>105</v>
      </c>
      <c r="AB32" s="7"/>
      <c r="AC32" s="7"/>
      <c r="AD32" s="8" t="s">
        <v>8</v>
      </c>
    </row>
    <row r="33" spans="1:30" ht="15" customHeight="1" x14ac:dyDescent="0.25">
      <c r="A33" s="5" t="s">
        <v>18</v>
      </c>
      <c r="C33" s="6" t="s">
        <v>106</v>
      </c>
      <c r="K33" s="18"/>
      <c r="L33" s="18"/>
      <c r="M33" s="18"/>
      <c r="N33" s="8" t="s">
        <v>8</v>
      </c>
      <c r="P33" s="6" t="s">
        <v>107</v>
      </c>
      <c r="AB33" s="7"/>
      <c r="AC33" s="7"/>
      <c r="AD33" s="8" t="s">
        <v>8</v>
      </c>
    </row>
    <row r="34" spans="1:30" ht="15" customHeight="1" x14ac:dyDescent="0.25">
      <c r="K34" s="18"/>
      <c r="L34" s="18"/>
      <c r="M34" s="18"/>
      <c r="N34" s="8" t="s">
        <v>8</v>
      </c>
      <c r="P34" s="6" t="s">
        <v>108</v>
      </c>
      <c r="S34" s="23" t="s">
        <v>10</v>
      </c>
      <c r="T34" s="6" t="str">
        <f>"TAC / " &amp; ROUND(0.5*T25,0)</f>
        <v>TAC / 42671</v>
      </c>
      <c r="U34" s="35" t="s">
        <v>109</v>
      </c>
      <c r="V34" s="35"/>
      <c r="AB34" s="7"/>
      <c r="AC34" s="7"/>
      <c r="AD34" s="8" t="s">
        <v>8</v>
      </c>
    </row>
    <row r="35" spans="1:30" ht="15" customHeight="1" x14ac:dyDescent="0.35">
      <c r="C35" s="25" t="s">
        <v>110</v>
      </c>
      <c r="D35" s="6" t="s">
        <v>111</v>
      </c>
      <c r="K35" s="18"/>
      <c r="L35" s="18"/>
      <c r="M35" s="18"/>
      <c r="N35" s="8" t="s">
        <v>8</v>
      </c>
      <c r="P35" s="6" t="s">
        <v>112</v>
      </c>
      <c r="S35" s="23" t="s">
        <v>10</v>
      </c>
      <c r="T35" s="6" t="str">
        <f>"PHS - " &amp; SUM(T29:T30)</f>
        <v>PHS - 19700</v>
      </c>
      <c r="U35" s="7"/>
      <c r="AB35" s="7"/>
      <c r="AC35" s="7"/>
      <c r="AD35" s="8" t="s">
        <v>8</v>
      </c>
    </row>
    <row r="36" spans="1:30" ht="15" customHeight="1" x14ac:dyDescent="0.35">
      <c r="C36" s="25" t="s">
        <v>113</v>
      </c>
      <c r="D36" s="6" t="s">
        <v>114</v>
      </c>
      <c r="K36" s="18"/>
      <c r="L36" s="18"/>
      <c r="M36" s="18"/>
      <c r="N36" s="8" t="s">
        <v>8</v>
      </c>
      <c r="O36" s="6" t="s">
        <v>115</v>
      </c>
      <c r="AB36" s="7"/>
      <c r="AC36" s="7"/>
      <c r="AD36" s="8" t="s">
        <v>8</v>
      </c>
    </row>
    <row r="37" spans="1:30" ht="15" customHeight="1" x14ac:dyDescent="0.35">
      <c r="D37" s="43" t="s">
        <v>116</v>
      </c>
      <c r="K37" s="18"/>
      <c r="L37" s="18"/>
      <c r="M37" s="18"/>
      <c r="N37" s="8" t="s">
        <v>8</v>
      </c>
      <c r="O37" s="142">
        <v>1</v>
      </c>
      <c r="P37" s="23" t="s">
        <v>10</v>
      </c>
      <c r="Q37" s="36" t="str">
        <f>"(PHS - "&amp;SUM(T29:T30)&amp;") / "&amp;ROUND(T25/2,0)</f>
        <v>(PHS - 19700) / 42671</v>
      </c>
      <c r="T37" s="36" t="s">
        <v>117</v>
      </c>
      <c r="U37" s="25" t="s">
        <v>118</v>
      </c>
      <c r="V37" s="23" t="s">
        <v>10</v>
      </c>
      <c r="W37" s="37">
        <f>O37*T25/2+SUM(T29:T30)</f>
        <v>62371.196121606932</v>
      </c>
      <c r="X37" s="5" t="s">
        <v>119</v>
      </c>
      <c r="AB37" s="7"/>
      <c r="AC37" s="7"/>
      <c r="AD37" s="8" t="s">
        <v>8</v>
      </c>
    </row>
    <row r="38" spans="1:30" ht="15" customHeight="1" x14ac:dyDescent="0.35">
      <c r="A38" s="5"/>
      <c r="C38" s="25" t="s">
        <v>120</v>
      </c>
      <c r="D38" s="6" t="s">
        <v>121</v>
      </c>
      <c r="K38" s="18"/>
      <c r="L38" s="18"/>
      <c r="M38" s="18"/>
      <c r="N38" s="8" t="s">
        <v>8</v>
      </c>
      <c r="O38" s="142">
        <v>1.5</v>
      </c>
      <c r="P38" s="23" t="s">
        <v>10</v>
      </c>
      <c r="Q38" s="36" t="str">
        <f>"(PHS - " &amp; SUM(T29:T30)&amp;") / "&amp;ROUND(T25/2,0)</f>
        <v>(PHS - 19700) / 42671</v>
      </c>
      <c r="T38" s="36" t="s">
        <v>117</v>
      </c>
      <c r="U38" s="25" t="s">
        <v>118</v>
      </c>
      <c r="V38" s="23" t="s">
        <v>10</v>
      </c>
      <c r="W38" s="37">
        <f>O38*T25/2+SUM(T29:T30)</f>
        <v>83706.794182410405</v>
      </c>
      <c r="X38" s="5" t="s">
        <v>122</v>
      </c>
      <c r="Y38" s="7"/>
      <c r="Z38" s="7"/>
      <c r="AA38" s="7"/>
      <c r="AB38" s="7"/>
      <c r="AC38" s="7"/>
      <c r="AD38" s="8" t="s">
        <v>8</v>
      </c>
    </row>
    <row r="39" spans="1:30" ht="15" customHeight="1" x14ac:dyDescent="0.25">
      <c r="A39" s="5"/>
      <c r="D39" s="6" t="s">
        <v>123</v>
      </c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8" t="s">
        <v>8</v>
      </c>
    </row>
    <row r="40" spans="1:3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8" t="s">
        <v>8</v>
      </c>
    </row>
    <row r="41" spans="1:30" ht="15" customHeight="1" x14ac:dyDescent="0.25">
      <c r="A41" s="5" t="s">
        <v>20</v>
      </c>
      <c r="C41" s="6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" t="s">
        <v>8</v>
      </c>
    </row>
    <row r="42" spans="1:3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8" t="s">
        <v>8</v>
      </c>
    </row>
    <row r="43" spans="1:30" ht="15" customHeight="1" x14ac:dyDescent="0.25">
      <c r="A43" s="27" t="s">
        <v>92</v>
      </c>
      <c r="C43" s="24" t="s">
        <v>125</v>
      </c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 t="s">
        <v>8</v>
      </c>
    </row>
    <row r="44" spans="1:30" ht="15" customHeight="1" x14ac:dyDescent="0.25">
      <c r="C44" s="24" t="s">
        <v>126</v>
      </c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8" t="s">
        <v>8</v>
      </c>
    </row>
    <row r="45" spans="1:30" ht="15" customHeight="1" x14ac:dyDescent="0.25">
      <c r="C45" s="24" t="s">
        <v>127</v>
      </c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8" t="s">
        <v>8</v>
      </c>
    </row>
    <row r="46" spans="1:3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8" t="s">
        <v>8</v>
      </c>
    </row>
    <row r="47" spans="1:30" ht="15" customHeight="1" x14ac:dyDescent="0.35">
      <c r="C47" s="143" t="s">
        <v>128</v>
      </c>
      <c r="D47" s="144" t="s">
        <v>10</v>
      </c>
      <c r="E47" s="145">
        <v>0</v>
      </c>
      <c r="G47" s="146" t="s">
        <v>129</v>
      </c>
      <c r="H47" s="147"/>
      <c r="I47" s="144" t="s">
        <v>10</v>
      </c>
      <c r="J47" s="145">
        <v>0</v>
      </c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8" t="s">
        <v>8</v>
      </c>
    </row>
    <row r="48" spans="1:3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" width="9.140625" style="6"/>
    <col min="17" max="18" width="12.7109375" style="6" customWidth="1"/>
    <col min="19" max="19" width="10.7109375" style="6" customWidth="1"/>
    <col min="20" max="16384" width="9.140625" style="6"/>
  </cols>
  <sheetData>
    <row r="1" spans="1:4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M1"/>
      <c r="AN1"/>
    </row>
    <row r="2" spans="1:40" ht="15" customHeight="1" x14ac:dyDescent="0.35">
      <c r="A2" s="5" t="s">
        <v>4</v>
      </c>
      <c r="C2" s="6" t="s">
        <v>131</v>
      </c>
      <c r="N2" s="25" t="s">
        <v>8</v>
      </c>
      <c r="O2" s="25" t="s">
        <v>65</v>
      </c>
      <c r="P2" s="25" t="s">
        <v>10</v>
      </c>
      <c r="Q2" s="25" t="s">
        <v>132</v>
      </c>
      <c r="R2" s="25" t="s">
        <v>11</v>
      </c>
      <c r="S2" s="25" t="s">
        <v>133</v>
      </c>
      <c r="T2" s="25" t="s">
        <v>11</v>
      </c>
      <c r="U2" s="25" t="s">
        <v>134</v>
      </c>
      <c r="AB2" s="25" t="s">
        <v>8</v>
      </c>
      <c r="AM2"/>
      <c r="AN2"/>
    </row>
    <row r="3" spans="1:40" ht="15" customHeight="1" x14ac:dyDescent="0.35">
      <c r="A3" s="5" t="s">
        <v>5</v>
      </c>
      <c r="C3" s="6" t="s">
        <v>135</v>
      </c>
      <c r="N3" s="25" t="s">
        <v>8</v>
      </c>
      <c r="P3" s="25" t="s">
        <v>10</v>
      </c>
      <c r="Q3" s="8">
        <f>T9</f>
        <v>2787.2799999999997</v>
      </c>
      <c r="R3" s="25" t="s">
        <v>11</v>
      </c>
      <c r="S3" s="8">
        <f>R31</f>
        <v>544.38476190476172</v>
      </c>
      <c r="T3" s="25" t="s">
        <v>11</v>
      </c>
      <c r="U3" s="8">
        <f>U57</f>
        <v>1457.5</v>
      </c>
      <c r="AB3" s="25" t="s">
        <v>8</v>
      </c>
      <c r="AC3" s="6" t="s">
        <v>136</v>
      </c>
      <c r="AM3"/>
      <c r="AN3"/>
    </row>
    <row r="4" spans="1:40" ht="15" customHeight="1" x14ac:dyDescent="0.25">
      <c r="A4" s="7"/>
      <c r="B4" s="7"/>
      <c r="C4"/>
      <c r="D4"/>
      <c r="E4"/>
      <c r="F4"/>
      <c r="G4"/>
      <c r="H4" s="7"/>
      <c r="I4" s="7"/>
      <c r="J4" s="7"/>
      <c r="K4" s="7"/>
      <c r="L4" s="7"/>
      <c r="M4" s="7"/>
      <c r="N4" s="8" t="s">
        <v>8</v>
      </c>
      <c r="P4" s="25" t="s">
        <v>10</v>
      </c>
      <c r="Q4" s="148">
        <f>Q3+S3+U3</f>
        <v>4789.1647619047617</v>
      </c>
      <c r="R4" s="33" t="s">
        <v>137</v>
      </c>
      <c r="AB4" s="25" t="s">
        <v>8</v>
      </c>
      <c r="AM4"/>
      <c r="AN4"/>
    </row>
    <row r="5" spans="1:40" ht="15" customHeight="1" thickBot="1" x14ac:dyDescent="0.4">
      <c r="A5" s="19" t="s">
        <v>6</v>
      </c>
      <c r="C5" s="149" t="s">
        <v>138</v>
      </c>
      <c r="D5" s="150"/>
      <c r="E5" s="150"/>
      <c r="F5" s="150"/>
      <c r="G5" s="151"/>
      <c r="N5" s="8" t="s">
        <v>8</v>
      </c>
      <c r="AB5" s="25" t="s">
        <v>8</v>
      </c>
      <c r="AC5" s="149" t="s">
        <v>139</v>
      </c>
      <c r="AD5" s="150"/>
      <c r="AE5" s="150"/>
      <c r="AF5" s="150"/>
      <c r="AG5" s="151"/>
      <c r="AM5"/>
      <c r="AN5"/>
    </row>
    <row r="6" spans="1:40" ht="15" customHeight="1" x14ac:dyDescent="0.35">
      <c r="A6" s="27"/>
      <c r="C6" s="152" t="s">
        <v>62</v>
      </c>
      <c r="D6" s="153"/>
      <c r="E6" s="154"/>
      <c r="F6" s="155" t="s">
        <v>140</v>
      </c>
      <c r="G6" s="156" t="s">
        <v>141</v>
      </c>
      <c r="N6" s="8" t="s">
        <v>8</v>
      </c>
      <c r="O6" s="5" t="s">
        <v>142</v>
      </c>
      <c r="P6" s="6" t="s">
        <v>143</v>
      </c>
      <c r="AB6" s="25" t="s">
        <v>8</v>
      </c>
      <c r="AC6" s="152" t="s">
        <v>62</v>
      </c>
      <c r="AD6" s="153"/>
      <c r="AE6" s="154"/>
      <c r="AF6" s="155" t="s">
        <v>140</v>
      </c>
      <c r="AG6" s="156" t="s">
        <v>141</v>
      </c>
      <c r="AM6"/>
      <c r="AN6"/>
    </row>
    <row r="7" spans="1:40" ht="15" customHeight="1" x14ac:dyDescent="0.25">
      <c r="C7" s="61"/>
      <c r="D7" s="62" t="s">
        <v>144</v>
      </c>
      <c r="E7" s="63"/>
      <c r="F7" s="157">
        <v>1800</v>
      </c>
      <c r="G7" s="158">
        <v>3.0000000000000001E-3</v>
      </c>
      <c r="N7" s="8" t="s">
        <v>8</v>
      </c>
      <c r="P7" s="35" t="s">
        <v>145</v>
      </c>
      <c r="AB7" s="25" t="s">
        <v>8</v>
      </c>
      <c r="AC7" s="61"/>
      <c r="AD7" s="62" t="s">
        <v>144</v>
      </c>
      <c r="AE7" s="63"/>
      <c r="AF7" s="159" t="s">
        <v>146</v>
      </c>
      <c r="AG7" s="158"/>
      <c r="AM7"/>
      <c r="AN7"/>
    </row>
    <row r="8" spans="1:40" ht="15" customHeight="1" x14ac:dyDescent="0.25">
      <c r="A8" s="19"/>
      <c r="B8" s="9"/>
      <c r="C8" s="61"/>
      <c r="D8" s="62" t="s">
        <v>147</v>
      </c>
      <c r="E8" s="63"/>
      <c r="F8" s="157">
        <v>10560</v>
      </c>
      <c r="G8" s="158">
        <v>3.0000000000000001E-3</v>
      </c>
      <c r="N8" s="8" t="s">
        <v>8</v>
      </c>
      <c r="AB8" s="25" t="s">
        <v>8</v>
      </c>
      <c r="AC8" s="61"/>
      <c r="AD8" s="62" t="s">
        <v>147</v>
      </c>
      <c r="AE8" s="63"/>
      <c r="AF8" s="160">
        <v>5.383116883116883</v>
      </c>
      <c r="AG8" s="158"/>
      <c r="AM8"/>
      <c r="AN8"/>
    </row>
    <row r="9" spans="1:40" ht="15" customHeight="1" x14ac:dyDescent="0.35">
      <c r="A9" s="9"/>
      <c r="B9" s="9"/>
      <c r="C9" s="61"/>
      <c r="D9" s="62" t="s">
        <v>148</v>
      </c>
      <c r="E9" s="63"/>
      <c r="F9" s="157">
        <v>3040</v>
      </c>
      <c r="G9" s="158">
        <v>0.05</v>
      </c>
      <c r="N9" s="8" t="s">
        <v>8</v>
      </c>
      <c r="P9" s="6" t="s">
        <v>149</v>
      </c>
      <c r="T9" s="161">
        <f>SUM(S12:S15)+SUM(S18:S24)</f>
        <v>2787.2799999999997</v>
      </c>
      <c r="AB9" s="25" t="s">
        <v>8</v>
      </c>
      <c r="AC9" s="61"/>
      <c r="AD9" s="62" t="s">
        <v>148</v>
      </c>
      <c r="AE9" s="63"/>
      <c r="AF9" s="160">
        <v>1.5909090909090908</v>
      </c>
      <c r="AG9" s="158"/>
      <c r="AM9"/>
      <c r="AN9"/>
    </row>
    <row r="10" spans="1:40" ht="15" customHeight="1" thickBot="1" x14ac:dyDescent="0.3">
      <c r="A10" s="9"/>
      <c r="B10" s="9"/>
      <c r="C10" s="61"/>
      <c r="D10" s="62" t="s">
        <v>150</v>
      </c>
      <c r="E10" s="63"/>
      <c r="F10" s="157">
        <v>0</v>
      </c>
      <c r="G10" s="158">
        <v>0.05</v>
      </c>
      <c r="N10" s="8" t="s">
        <v>8</v>
      </c>
      <c r="AB10" s="25" t="s">
        <v>8</v>
      </c>
      <c r="AC10" s="61"/>
      <c r="AD10" s="62" t="s">
        <v>150</v>
      </c>
      <c r="AE10" s="63"/>
      <c r="AF10" s="160">
        <v>0</v>
      </c>
      <c r="AG10" s="158"/>
      <c r="AM10"/>
      <c r="AN10"/>
    </row>
    <row r="11" spans="1:40" ht="15" customHeight="1" x14ac:dyDescent="0.25">
      <c r="A11" s="9"/>
      <c r="B11" s="9"/>
      <c r="C11" s="162" t="s">
        <v>151</v>
      </c>
      <c r="D11" s="163"/>
      <c r="E11" s="164"/>
      <c r="F11" s="165" t="s">
        <v>140</v>
      </c>
      <c r="G11" s="166" t="s">
        <v>141</v>
      </c>
      <c r="N11" s="8" t="s">
        <v>8</v>
      </c>
      <c r="P11" s="167" t="s">
        <v>62</v>
      </c>
      <c r="Q11" s="168"/>
      <c r="R11" s="169"/>
      <c r="S11" s="170" t="s">
        <v>63</v>
      </c>
      <c r="AB11" s="25" t="s">
        <v>8</v>
      </c>
      <c r="AC11" s="162" t="s">
        <v>151</v>
      </c>
      <c r="AD11" s="163"/>
      <c r="AE11" s="164"/>
      <c r="AF11" s="171"/>
      <c r="AG11" s="166" t="s">
        <v>141</v>
      </c>
      <c r="AM11"/>
      <c r="AN11"/>
    </row>
    <row r="12" spans="1:40" ht="15" customHeight="1" x14ac:dyDescent="0.25">
      <c r="A12" s="9"/>
      <c r="B12" s="9"/>
      <c r="C12" s="61"/>
      <c r="D12" s="62" t="s">
        <v>152</v>
      </c>
      <c r="E12" s="63"/>
      <c r="F12" s="172">
        <v>68800</v>
      </c>
      <c r="G12" s="173">
        <v>0</v>
      </c>
      <c r="H12" s="33"/>
      <c r="N12" s="8" t="s">
        <v>8</v>
      </c>
      <c r="P12" s="61"/>
      <c r="Q12" s="62" t="s">
        <v>144</v>
      </c>
      <c r="R12" s="63"/>
      <c r="S12" s="174">
        <f>F7*G7</f>
        <v>5.4</v>
      </c>
      <c r="AB12" s="25" t="s">
        <v>8</v>
      </c>
      <c r="AC12" s="61"/>
      <c r="AD12" s="62" t="s">
        <v>152</v>
      </c>
      <c r="AE12" s="63"/>
      <c r="AF12" s="160">
        <v>41.530415584415586</v>
      </c>
      <c r="AG12" s="173"/>
      <c r="AM12"/>
      <c r="AN12"/>
    </row>
    <row r="13" spans="1:40" ht="15" customHeight="1" x14ac:dyDescent="0.25">
      <c r="A13" s="9"/>
      <c r="B13" s="9"/>
      <c r="C13" s="61"/>
      <c r="D13" s="62" t="s">
        <v>153</v>
      </c>
      <c r="E13" s="63"/>
      <c r="F13" s="172">
        <v>0</v>
      </c>
      <c r="G13" s="173">
        <v>3.0000000000000001E-3</v>
      </c>
      <c r="H13" s="24"/>
      <c r="N13" s="8" t="s">
        <v>8</v>
      </c>
      <c r="P13" s="61"/>
      <c r="Q13" s="62" t="s">
        <v>147</v>
      </c>
      <c r="R13" s="63"/>
      <c r="S13" s="174">
        <f>F8*G8</f>
        <v>31.68</v>
      </c>
      <c r="AB13" s="25" t="s">
        <v>8</v>
      </c>
      <c r="AC13" s="61"/>
      <c r="AD13" s="62" t="s">
        <v>153</v>
      </c>
      <c r="AE13" s="63"/>
      <c r="AF13" s="160">
        <v>0</v>
      </c>
      <c r="AG13" s="173"/>
      <c r="AM13"/>
      <c r="AN13"/>
    </row>
    <row r="14" spans="1:40" ht="15" customHeight="1" x14ac:dyDescent="0.25">
      <c r="A14" s="9"/>
      <c r="B14" s="9"/>
      <c r="C14" s="61"/>
      <c r="D14" s="62" t="s">
        <v>154</v>
      </c>
      <c r="E14" s="63"/>
      <c r="F14" s="172">
        <v>441500</v>
      </c>
      <c r="G14" s="173">
        <v>3.0000000000000001E-3</v>
      </c>
      <c r="N14" s="8" t="s">
        <v>8</v>
      </c>
      <c r="P14" s="61"/>
      <c r="Q14" s="62" t="s">
        <v>148</v>
      </c>
      <c r="R14" s="63"/>
      <c r="S14" s="174">
        <f>F9*G9</f>
        <v>152</v>
      </c>
      <c r="AB14" s="25" t="s">
        <v>8</v>
      </c>
      <c r="AC14" s="61"/>
      <c r="AD14" s="62" t="s">
        <v>155</v>
      </c>
      <c r="AE14" s="63"/>
      <c r="AF14" s="160">
        <v>299.09519480519481</v>
      </c>
      <c r="AG14" s="173"/>
      <c r="AM14"/>
      <c r="AN14"/>
    </row>
    <row r="15" spans="1:40" ht="15" customHeight="1" thickBot="1" x14ac:dyDescent="0.3">
      <c r="C15" s="61"/>
      <c r="D15" s="62" t="s">
        <v>156</v>
      </c>
      <c r="E15" s="63"/>
      <c r="F15" s="172">
        <v>58900</v>
      </c>
      <c r="G15" s="173">
        <v>0.01</v>
      </c>
      <c r="N15" s="8" t="s">
        <v>8</v>
      </c>
      <c r="P15" s="61"/>
      <c r="Q15" s="62" t="s">
        <v>150</v>
      </c>
      <c r="R15" s="63"/>
      <c r="S15" s="174">
        <f>F10*G10</f>
        <v>0</v>
      </c>
      <c r="AB15" s="25" t="s">
        <v>8</v>
      </c>
      <c r="AC15" s="61"/>
      <c r="AD15" s="62" t="s">
        <v>156</v>
      </c>
      <c r="AE15" s="63"/>
      <c r="AF15" s="160">
        <v>32.386103896103897</v>
      </c>
      <c r="AG15" s="173"/>
      <c r="AM15"/>
      <c r="AN15"/>
    </row>
    <row r="16" spans="1:40" ht="15" customHeight="1" x14ac:dyDescent="0.25">
      <c r="C16" s="61"/>
      <c r="D16" s="62" t="s">
        <v>157</v>
      </c>
      <c r="E16" s="63"/>
      <c r="F16" s="172">
        <v>7410</v>
      </c>
      <c r="G16" s="173">
        <v>0.02</v>
      </c>
      <c r="N16" s="8" t="s">
        <v>8</v>
      </c>
      <c r="P16" s="162" t="s">
        <v>151</v>
      </c>
      <c r="Q16" s="163"/>
      <c r="R16" s="164"/>
      <c r="S16" s="175" t="s">
        <v>63</v>
      </c>
      <c r="AB16" s="25" t="s">
        <v>8</v>
      </c>
      <c r="AC16" s="61"/>
      <c r="AD16" s="62" t="s">
        <v>157</v>
      </c>
      <c r="AE16" s="63"/>
      <c r="AF16" s="160">
        <v>4.5721558441558443</v>
      </c>
      <c r="AG16" s="173"/>
      <c r="AM16"/>
      <c r="AN16"/>
    </row>
    <row r="17" spans="3:40" ht="15" customHeight="1" x14ac:dyDescent="0.25">
      <c r="C17" s="61"/>
      <c r="D17" s="62" t="s">
        <v>158</v>
      </c>
      <c r="E17" s="63"/>
      <c r="F17" s="172">
        <v>3700</v>
      </c>
      <c r="G17" s="173">
        <v>4.4999999999999998E-2</v>
      </c>
      <c r="N17" s="8" t="s">
        <v>8</v>
      </c>
      <c r="P17" s="61"/>
      <c r="Q17" s="62" t="s">
        <v>152</v>
      </c>
      <c r="R17" s="63"/>
      <c r="S17" s="176">
        <f t="shared" ref="S17:S24" si="0">F12*G12</f>
        <v>0</v>
      </c>
      <c r="T17" s="33" t="s">
        <v>159</v>
      </c>
      <c r="AB17" s="25" t="s">
        <v>8</v>
      </c>
      <c r="AC17" s="61"/>
      <c r="AD17" s="62" t="s">
        <v>158</v>
      </c>
      <c r="AE17" s="63"/>
      <c r="AF17" s="160">
        <v>2.2860779220779222</v>
      </c>
      <c r="AG17" s="173"/>
      <c r="AM17"/>
      <c r="AN17"/>
    </row>
    <row r="18" spans="3:40" ht="15" customHeight="1" x14ac:dyDescent="0.25">
      <c r="C18" s="61"/>
      <c r="D18" s="62" t="s">
        <v>160</v>
      </c>
      <c r="E18" s="63"/>
      <c r="F18" s="172">
        <v>1630</v>
      </c>
      <c r="G18" s="173">
        <v>0.1</v>
      </c>
      <c r="N18" s="8" t="s">
        <v>8</v>
      </c>
      <c r="P18" s="61"/>
      <c r="Q18" s="62" t="s">
        <v>153</v>
      </c>
      <c r="R18" s="63"/>
      <c r="S18" s="176">
        <f t="shared" si="0"/>
        <v>0</v>
      </c>
      <c r="T18" s="33" t="s">
        <v>159</v>
      </c>
      <c r="AB18" s="25" t="s">
        <v>8</v>
      </c>
      <c r="AC18" s="61"/>
      <c r="AD18" s="62" t="s">
        <v>160</v>
      </c>
      <c r="AE18" s="63"/>
      <c r="AF18" s="160">
        <v>0.76202597402597405</v>
      </c>
      <c r="AG18" s="173"/>
      <c r="AM18"/>
      <c r="AN18"/>
    </row>
    <row r="19" spans="3:40" ht="15" customHeight="1" x14ac:dyDescent="0.25">
      <c r="C19" s="65"/>
      <c r="D19" s="66" t="s">
        <v>161</v>
      </c>
      <c r="E19" s="67"/>
      <c r="F19" s="177">
        <v>690</v>
      </c>
      <c r="G19" s="178">
        <v>0.3</v>
      </c>
      <c r="N19" s="8" t="s">
        <v>8</v>
      </c>
      <c r="P19" s="61"/>
      <c r="Q19" s="62" t="s">
        <v>155</v>
      </c>
      <c r="R19" s="63"/>
      <c r="S19" s="179">
        <f t="shared" si="0"/>
        <v>1324.5</v>
      </c>
      <c r="AB19" s="25" t="s">
        <v>8</v>
      </c>
      <c r="AC19" s="65"/>
      <c r="AD19" s="66" t="s">
        <v>161</v>
      </c>
      <c r="AE19" s="67"/>
      <c r="AF19" s="180">
        <v>0.38101298701298703</v>
      </c>
      <c r="AG19" s="178"/>
      <c r="AM19"/>
      <c r="AN19"/>
    </row>
    <row r="20" spans="3:40" ht="15" customHeight="1" x14ac:dyDescent="0.25">
      <c r="C20"/>
      <c r="D20"/>
      <c r="E20"/>
      <c r="F20"/>
      <c r="G20"/>
      <c r="H20"/>
      <c r="I20"/>
      <c r="N20" s="8" t="s">
        <v>8</v>
      </c>
      <c r="P20" s="61"/>
      <c r="Q20" s="62" t="s">
        <v>156</v>
      </c>
      <c r="R20" s="63"/>
      <c r="S20" s="179">
        <f t="shared" si="0"/>
        <v>589</v>
      </c>
      <c r="AB20" s="25" t="s">
        <v>8</v>
      </c>
      <c r="AM20"/>
      <c r="AN20"/>
    </row>
    <row r="21" spans="3:40" ht="15" customHeight="1" x14ac:dyDescent="0.25">
      <c r="C21" s="181" t="s">
        <v>162</v>
      </c>
      <c r="D21" s="15"/>
      <c r="E21" s="15"/>
      <c r="F21" s="15"/>
      <c r="G21" s="182">
        <v>420</v>
      </c>
      <c r="N21" s="8" t="s">
        <v>8</v>
      </c>
      <c r="P21" s="61"/>
      <c r="Q21" s="62" t="s">
        <v>157</v>
      </c>
      <c r="R21" s="63"/>
      <c r="S21" s="179">
        <f t="shared" si="0"/>
        <v>148.20000000000002</v>
      </c>
      <c r="AB21" s="25" t="s">
        <v>8</v>
      </c>
      <c r="AM21"/>
      <c r="AN21"/>
    </row>
    <row r="22" spans="3:40" ht="15" customHeight="1" x14ac:dyDescent="0.25">
      <c r="N22" s="8" t="s">
        <v>8</v>
      </c>
      <c r="P22" s="61"/>
      <c r="Q22" s="62" t="s">
        <v>158</v>
      </c>
      <c r="R22" s="63"/>
      <c r="S22" s="179">
        <f t="shared" si="0"/>
        <v>166.5</v>
      </c>
      <c r="AB22" s="25" t="s">
        <v>8</v>
      </c>
      <c r="AM22"/>
      <c r="AN22"/>
    </row>
    <row r="23" spans="3:40" ht="15" customHeight="1" x14ac:dyDescent="0.25">
      <c r="C23" s="183" t="s">
        <v>163</v>
      </c>
      <c r="D23" s="184"/>
      <c r="E23" s="184"/>
      <c r="F23" s="184"/>
      <c r="G23" s="184"/>
      <c r="H23" s="184"/>
      <c r="I23" s="185"/>
      <c r="N23" s="8" t="s">
        <v>8</v>
      </c>
      <c r="P23" s="61"/>
      <c r="Q23" s="62" t="s">
        <v>160</v>
      </c>
      <c r="R23" s="63"/>
      <c r="S23" s="179">
        <f t="shared" si="0"/>
        <v>163</v>
      </c>
      <c r="AB23" s="25" t="s">
        <v>8</v>
      </c>
      <c r="AC23" s="183" t="s">
        <v>164</v>
      </c>
      <c r="AD23" s="184"/>
      <c r="AE23" s="184"/>
      <c r="AF23" s="184"/>
      <c r="AG23" s="184"/>
      <c r="AH23" s="184"/>
      <c r="AI23" s="185"/>
      <c r="AJ23" s="7"/>
      <c r="AK23" s="7"/>
      <c r="AL23" s="7"/>
      <c r="AM23"/>
      <c r="AN23"/>
    </row>
    <row r="24" spans="3:40" ht="15" customHeight="1" x14ac:dyDescent="0.25">
      <c r="C24" s="186"/>
      <c r="D24" s="187" t="s">
        <v>165</v>
      </c>
      <c r="E24" s="188"/>
      <c r="F24" s="189" t="s">
        <v>166</v>
      </c>
      <c r="G24" s="190"/>
      <c r="H24" s="191"/>
      <c r="I24" s="67"/>
      <c r="N24" s="8" t="s">
        <v>8</v>
      </c>
      <c r="P24" s="65"/>
      <c r="Q24" s="66" t="s">
        <v>161</v>
      </c>
      <c r="R24" s="67"/>
      <c r="S24" s="192">
        <f t="shared" si="0"/>
        <v>207</v>
      </c>
      <c r="AB24" s="25" t="s">
        <v>8</v>
      </c>
      <c r="AC24" s="186"/>
      <c r="AD24" s="187" t="s">
        <v>165</v>
      </c>
      <c r="AE24" s="188"/>
      <c r="AF24" s="189" t="s">
        <v>166</v>
      </c>
      <c r="AG24" s="190"/>
      <c r="AH24" s="191"/>
      <c r="AI24" s="67"/>
      <c r="AJ24" s="7"/>
      <c r="AK24" s="7"/>
      <c r="AL24" s="7"/>
      <c r="AM24"/>
      <c r="AN24"/>
    </row>
    <row r="25" spans="3:40" ht="15" customHeight="1" x14ac:dyDescent="0.25">
      <c r="C25" s="90"/>
      <c r="D25" s="193"/>
      <c r="E25" s="194"/>
      <c r="F25" s="195" t="s">
        <v>167</v>
      </c>
      <c r="G25" s="193"/>
      <c r="H25" s="194"/>
      <c r="I25" s="45"/>
      <c r="N25" s="8" t="s">
        <v>8</v>
      </c>
      <c r="P25" s="65" t="s">
        <v>168</v>
      </c>
      <c r="Q25" s="66"/>
      <c r="R25" s="67"/>
      <c r="S25" s="196">
        <f>SUM(S19:S24)</f>
        <v>2598.1999999999998</v>
      </c>
      <c r="T25" s="56" t="s">
        <v>169</v>
      </c>
      <c r="AB25" s="25" t="s">
        <v>8</v>
      </c>
      <c r="AC25" s="90"/>
      <c r="AD25" s="193"/>
      <c r="AE25" s="194"/>
      <c r="AF25" s="195" t="s">
        <v>167</v>
      </c>
      <c r="AG25" s="193"/>
      <c r="AH25" s="194"/>
      <c r="AI25" s="45"/>
      <c r="AJ25" s="7"/>
      <c r="AK25" s="7"/>
      <c r="AL25" s="7"/>
      <c r="AM25"/>
      <c r="AN25"/>
    </row>
    <row r="26" spans="3:40" ht="15" customHeight="1" x14ac:dyDescent="0.25">
      <c r="C26" s="50"/>
      <c r="D26" s="193" t="s">
        <v>170</v>
      </c>
      <c r="E26" s="197"/>
      <c r="F26" s="195" t="s">
        <v>171</v>
      </c>
      <c r="G26" s="198" t="s">
        <v>171</v>
      </c>
      <c r="H26" s="197"/>
      <c r="I26" s="63"/>
      <c r="N26" s="8" t="s">
        <v>8</v>
      </c>
      <c r="AB26" s="25" t="s">
        <v>8</v>
      </c>
      <c r="AC26" s="50"/>
      <c r="AD26" s="193" t="s">
        <v>170</v>
      </c>
      <c r="AE26" s="197"/>
      <c r="AF26" s="195" t="s">
        <v>171</v>
      </c>
      <c r="AG26" s="198" t="s">
        <v>171</v>
      </c>
      <c r="AH26" s="197"/>
      <c r="AI26" s="63"/>
      <c r="AJ26" s="7"/>
      <c r="AK26" s="7"/>
      <c r="AL26" s="7"/>
      <c r="AM26"/>
      <c r="AN26"/>
    </row>
    <row r="27" spans="3:40" ht="15" customHeight="1" x14ac:dyDescent="0.25">
      <c r="C27" s="90"/>
      <c r="D27" s="193" t="s">
        <v>171</v>
      </c>
      <c r="E27" s="194" t="s">
        <v>172</v>
      </c>
      <c r="F27" s="195" t="s">
        <v>173</v>
      </c>
      <c r="G27" s="193" t="s">
        <v>174</v>
      </c>
      <c r="H27" s="194"/>
      <c r="I27" s="45"/>
      <c r="N27" s="8" t="s">
        <v>8</v>
      </c>
      <c r="O27" s="5" t="s">
        <v>175</v>
      </c>
      <c r="P27" s="6" t="s">
        <v>176</v>
      </c>
      <c r="R27" s="25"/>
      <c r="AB27" s="25" t="s">
        <v>8</v>
      </c>
      <c r="AC27" s="90"/>
      <c r="AD27" s="193" t="s">
        <v>171</v>
      </c>
      <c r="AE27" s="194" t="s">
        <v>172</v>
      </c>
      <c r="AF27" s="195" t="s">
        <v>173</v>
      </c>
      <c r="AG27" s="193" t="s">
        <v>174</v>
      </c>
      <c r="AH27" s="194"/>
      <c r="AI27" s="45"/>
      <c r="AJ27" s="7"/>
      <c r="AK27" s="7"/>
      <c r="AL27" s="7"/>
      <c r="AM27"/>
      <c r="AN27"/>
    </row>
    <row r="28" spans="3:40" ht="15" customHeight="1" thickBot="1" x14ac:dyDescent="0.3">
      <c r="C28" s="199"/>
      <c r="D28" s="200" t="s">
        <v>151</v>
      </c>
      <c r="E28" s="201" t="s">
        <v>151</v>
      </c>
      <c r="F28" s="202" t="s">
        <v>177</v>
      </c>
      <c r="G28" s="200" t="s">
        <v>178</v>
      </c>
      <c r="H28" s="201" t="s">
        <v>179</v>
      </c>
      <c r="I28" s="203" t="s">
        <v>180</v>
      </c>
      <c r="N28" s="8" t="s">
        <v>8</v>
      </c>
      <c r="AB28" s="25" t="s">
        <v>8</v>
      </c>
      <c r="AC28" s="199"/>
      <c r="AD28" s="200" t="s">
        <v>151</v>
      </c>
      <c r="AE28" s="201" t="s">
        <v>151</v>
      </c>
      <c r="AF28" s="202" t="s">
        <v>177</v>
      </c>
      <c r="AG28" s="200" t="s">
        <v>178</v>
      </c>
      <c r="AH28" s="201" t="s">
        <v>179</v>
      </c>
      <c r="AI28" s="203" t="s">
        <v>180</v>
      </c>
      <c r="AJ28" s="7"/>
      <c r="AK28" s="204" t="s">
        <v>181</v>
      </c>
      <c r="AL28" s="204"/>
      <c r="AM28"/>
      <c r="AN28"/>
    </row>
    <row r="29" spans="3:40" ht="15" customHeight="1" x14ac:dyDescent="0.25">
      <c r="C29" s="90">
        <v>1</v>
      </c>
      <c r="D29" s="172">
        <v>12900</v>
      </c>
      <c r="E29" s="106">
        <v>0</v>
      </c>
      <c r="F29" s="205">
        <v>0</v>
      </c>
      <c r="G29" s="172">
        <v>0</v>
      </c>
      <c r="H29" s="106">
        <v>0</v>
      </c>
      <c r="I29" s="206">
        <v>12900</v>
      </c>
      <c r="N29" s="8" t="s">
        <v>8</v>
      </c>
      <c r="P29" s="25" t="s">
        <v>133</v>
      </c>
      <c r="Q29" s="25" t="s">
        <v>10</v>
      </c>
      <c r="R29" s="207" t="s">
        <v>182</v>
      </c>
      <c r="S29" s="25" t="s">
        <v>19</v>
      </c>
      <c r="T29" s="6" t="s">
        <v>183</v>
      </c>
      <c r="AB29" s="25" t="s">
        <v>8</v>
      </c>
      <c r="AC29" s="90">
        <v>1</v>
      </c>
      <c r="AD29" s="208">
        <f t="shared" ref="AD29:AD43" ca="1" si="1">IF(RAND()&lt;AK29,1,0)</f>
        <v>1</v>
      </c>
      <c r="AE29" s="209">
        <f t="shared" ref="AE29:AE43" ca="1" si="2">IF(AD29=1,0,IF(RAND()&lt;AK29,1,0))</f>
        <v>0</v>
      </c>
      <c r="AF29" s="210">
        <f t="shared" ref="AF29:AF43" ca="1" si="3">IF(RAND()&lt;AL29,1,0)</f>
        <v>0</v>
      </c>
      <c r="AG29" s="208">
        <f t="shared" ref="AG29:AG43" ca="1" si="4">IF(RAND()&lt;AL29,1,0)</f>
        <v>0</v>
      </c>
      <c r="AH29" s="209">
        <f t="shared" ref="AH29:AH43" ca="1" si="5">IF(RAND()&lt;AL29,1,IF(SUM(AD29:AG29)=0,1,0))</f>
        <v>1</v>
      </c>
      <c r="AI29" s="206">
        <f t="shared" ref="AI29:AI43" ca="1" si="6">SUM(AD29:AH29)</f>
        <v>2</v>
      </c>
      <c r="AJ29" s="7"/>
      <c r="AK29" s="211">
        <v>0.5</v>
      </c>
      <c r="AL29" s="211">
        <v>0.3</v>
      </c>
      <c r="AM29"/>
      <c r="AN29"/>
    </row>
    <row r="30" spans="3:40" ht="15" customHeight="1" x14ac:dyDescent="0.25">
      <c r="C30" s="91">
        <v>2</v>
      </c>
      <c r="D30" s="177">
        <v>6050</v>
      </c>
      <c r="E30" s="113">
        <v>0</v>
      </c>
      <c r="F30" s="212">
        <v>0</v>
      </c>
      <c r="G30" s="177">
        <v>6050</v>
      </c>
      <c r="H30" s="113">
        <v>0</v>
      </c>
      <c r="I30" s="213">
        <v>12100</v>
      </c>
      <c r="N30" s="8" t="s">
        <v>8</v>
      </c>
      <c r="Q30" s="25" t="s">
        <v>10</v>
      </c>
      <c r="R30" s="214">
        <f>R42</f>
        <v>0.20952380952380945</v>
      </c>
      <c r="S30" s="25" t="s">
        <v>19</v>
      </c>
      <c r="T30" s="51">
        <f>S25</f>
        <v>2598.1999999999998</v>
      </c>
      <c r="AB30" s="25" t="s">
        <v>8</v>
      </c>
      <c r="AC30" s="91">
        <v>2</v>
      </c>
      <c r="AD30" s="215">
        <f t="shared" ca="1" si="1"/>
        <v>1</v>
      </c>
      <c r="AE30" s="216">
        <f t="shared" ca="1" si="2"/>
        <v>0</v>
      </c>
      <c r="AF30" s="217">
        <f t="shared" ca="1" si="3"/>
        <v>0</v>
      </c>
      <c r="AG30" s="215">
        <f t="shared" ca="1" si="4"/>
        <v>0</v>
      </c>
      <c r="AH30" s="216">
        <f t="shared" ca="1" si="5"/>
        <v>0</v>
      </c>
      <c r="AI30" s="213">
        <f t="shared" ca="1" si="6"/>
        <v>1</v>
      </c>
      <c r="AJ30" s="7"/>
      <c r="AK30" s="211">
        <v>0.5</v>
      </c>
      <c r="AL30" s="211">
        <v>0.3</v>
      </c>
      <c r="AM30"/>
      <c r="AN30"/>
    </row>
    <row r="31" spans="3:40" ht="15" customHeight="1" x14ac:dyDescent="0.25">
      <c r="C31" s="90">
        <v>3</v>
      </c>
      <c r="D31" s="172">
        <v>0</v>
      </c>
      <c r="E31" s="106">
        <v>0</v>
      </c>
      <c r="F31" s="205">
        <v>0</v>
      </c>
      <c r="G31" s="172">
        <v>11000</v>
      </c>
      <c r="H31" s="106">
        <v>0</v>
      </c>
      <c r="I31" s="206">
        <v>11000</v>
      </c>
      <c r="N31" s="8" t="s">
        <v>8</v>
      </c>
      <c r="Q31" s="25" t="s">
        <v>10</v>
      </c>
      <c r="R31" s="218">
        <f>R30*T30</f>
        <v>544.38476190476172</v>
      </c>
      <c r="AB31" s="25" t="s">
        <v>8</v>
      </c>
      <c r="AC31" s="90">
        <v>3</v>
      </c>
      <c r="AD31" s="208">
        <f t="shared" ca="1" si="1"/>
        <v>0</v>
      </c>
      <c r="AE31" s="209">
        <f t="shared" ca="1" si="2"/>
        <v>1</v>
      </c>
      <c r="AF31" s="210">
        <f t="shared" ca="1" si="3"/>
        <v>0</v>
      </c>
      <c r="AG31" s="208">
        <f t="shared" ca="1" si="4"/>
        <v>0</v>
      </c>
      <c r="AH31" s="209">
        <f t="shared" ca="1" si="5"/>
        <v>1</v>
      </c>
      <c r="AI31" s="206">
        <f t="shared" ca="1" si="6"/>
        <v>2</v>
      </c>
      <c r="AJ31" s="7"/>
      <c r="AK31" s="211">
        <v>0.5</v>
      </c>
      <c r="AL31" s="211">
        <v>0.3</v>
      </c>
      <c r="AM31"/>
      <c r="AN31"/>
    </row>
    <row r="32" spans="3:40" ht="15" customHeight="1" x14ac:dyDescent="0.25">
      <c r="C32" s="91">
        <v>4</v>
      </c>
      <c r="D32" s="177">
        <v>10700</v>
      </c>
      <c r="E32" s="113">
        <v>0</v>
      </c>
      <c r="F32" s="212">
        <v>0</v>
      </c>
      <c r="G32" s="177">
        <v>0</v>
      </c>
      <c r="H32" s="113">
        <v>0</v>
      </c>
      <c r="I32" s="213">
        <v>10700</v>
      </c>
      <c r="N32" s="8" t="s">
        <v>8</v>
      </c>
      <c r="AB32" s="25" t="s">
        <v>8</v>
      </c>
      <c r="AC32" s="91">
        <v>4</v>
      </c>
      <c r="AD32" s="215">
        <f t="shared" ca="1" si="1"/>
        <v>1</v>
      </c>
      <c r="AE32" s="216">
        <f t="shared" ca="1" si="2"/>
        <v>0</v>
      </c>
      <c r="AF32" s="217">
        <f t="shared" ca="1" si="3"/>
        <v>1</v>
      </c>
      <c r="AG32" s="215">
        <f t="shared" ca="1" si="4"/>
        <v>0</v>
      </c>
      <c r="AH32" s="216">
        <f t="shared" ca="1" si="5"/>
        <v>0</v>
      </c>
      <c r="AI32" s="213">
        <f t="shared" ca="1" si="6"/>
        <v>2</v>
      </c>
      <c r="AJ32" s="7"/>
      <c r="AK32" s="211">
        <v>0.5</v>
      </c>
      <c r="AL32" s="211">
        <v>0.3</v>
      </c>
      <c r="AM32"/>
      <c r="AN32"/>
    </row>
    <row r="33" spans="1:40" ht="15" customHeight="1" x14ac:dyDescent="0.25">
      <c r="C33" s="90">
        <v>5</v>
      </c>
      <c r="D33" s="172">
        <v>0</v>
      </c>
      <c r="E33" s="106">
        <v>4900</v>
      </c>
      <c r="F33" s="205">
        <v>0</v>
      </c>
      <c r="G33" s="172">
        <v>4900</v>
      </c>
      <c r="H33" s="106">
        <v>0</v>
      </c>
      <c r="I33" s="206">
        <v>9800</v>
      </c>
      <c r="N33" s="8" t="s">
        <v>8</v>
      </c>
      <c r="O33" s="207" t="s">
        <v>184</v>
      </c>
      <c r="P33" s="219" t="s">
        <v>185</v>
      </c>
      <c r="Q33" s="220" t="s">
        <v>185</v>
      </c>
      <c r="R33" s="220" t="s">
        <v>186</v>
      </c>
      <c r="S33" s="87"/>
      <c r="AB33" s="25" t="s">
        <v>8</v>
      </c>
      <c r="AC33" s="90">
        <v>5</v>
      </c>
      <c r="AD33" s="208">
        <f t="shared" ca="1" si="1"/>
        <v>0</v>
      </c>
      <c r="AE33" s="209">
        <f t="shared" ca="1" si="2"/>
        <v>0</v>
      </c>
      <c r="AF33" s="210">
        <f t="shared" ca="1" si="3"/>
        <v>1</v>
      </c>
      <c r="AG33" s="208">
        <f t="shared" ca="1" si="4"/>
        <v>0</v>
      </c>
      <c r="AH33" s="209">
        <f t="shared" ca="1" si="5"/>
        <v>0</v>
      </c>
      <c r="AI33" s="206">
        <f t="shared" ca="1" si="6"/>
        <v>1</v>
      </c>
      <c r="AJ33" s="7"/>
      <c r="AK33" s="211">
        <v>0.5</v>
      </c>
      <c r="AL33" s="211">
        <v>0.3</v>
      </c>
      <c r="AM33"/>
      <c r="AN33"/>
    </row>
    <row r="34" spans="1:40" ht="15" customHeight="1" x14ac:dyDescent="0.25">
      <c r="C34" s="91">
        <v>6</v>
      </c>
      <c r="D34" s="177">
        <v>4550</v>
      </c>
      <c r="E34" s="113">
        <v>0</v>
      </c>
      <c r="F34" s="212">
        <v>0</v>
      </c>
      <c r="G34" s="177">
        <v>4550</v>
      </c>
      <c r="H34" s="113">
        <v>0</v>
      </c>
      <c r="I34" s="213">
        <v>9100</v>
      </c>
      <c r="N34" s="8" t="s">
        <v>8</v>
      </c>
      <c r="P34" s="221" t="str">
        <f>"= " &amp;G21</f>
        <v>= 420</v>
      </c>
      <c r="Q34" s="222" t="s">
        <v>187</v>
      </c>
      <c r="R34" s="222" t="s">
        <v>188</v>
      </c>
      <c r="S34" s="223" t="s">
        <v>189</v>
      </c>
      <c r="AB34" s="25" t="s">
        <v>8</v>
      </c>
      <c r="AC34" s="91">
        <v>6</v>
      </c>
      <c r="AD34" s="215">
        <f t="shared" ca="1" si="1"/>
        <v>0</v>
      </c>
      <c r="AE34" s="216">
        <f t="shared" ca="1" si="2"/>
        <v>0</v>
      </c>
      <c r="AF34" s="217">
        <f t="shared" ca="1" si="3"/>
        <v>1</v>
      </c>
      <c r="AG34" s="215">
        <f t="shared" ca="1" si="4"/>
        <v>0</v>
      </c>
      <c r="AH34" s="216">
        <f t="shared" ca="1" si="5"/>
        <v>0</v>
      </c>
      <c r="AI34" s="213">
        <f t="shared" ca="1" si="6"/>
        <v>1</v>
      </c>
      <c r="AJ34" s="7"/>
      <c r="AK34" s="211">
        <v>0.5</v>
      </c>
      <c r="AL34" s="211">
        <v>0.3</v>
      </c>
      <c r="AM34"/>
      <c r="AN34"/>
    </row>
    <row r="35" spans="1:40" ht="15" customHeight="1" x14ac:dyDescent="0.25">
      <c r="C35" s="90">
        <v>7</v>
      </c>
      <c r="D35" s="172">
        <v>4550</v>
      </c>
      <c r="E35" s="106">
        <v>0</v>
      </c>
      <c r="F35" s="205">
        <v>0</v>
      </c>
      <c r="G35" s="172">
        <v>0</v>
      </c>
      <c r="H35" s="106">
        <v>4550</v>
      </c>
      <c r="I35" s="206">
        <v>9100</v>
      </c>
      <c r="N35" s="8" t="s">
        <v>8</v>
      </c>
      <c r="P35" s="90" t="s">
        <v>190</v>
      </c>
      <c r="Q35" s="46">
        <f>MIN(50,G21)</f>
        <v>50</v>
      </c>
      <c r="R35" s="224">
        <v>2.5</v>
      </c>
      <c r="S35" s="225">
        <f>Q35*R35</f>
        <v>125</v>
      </c>
      <c r="AB35" s="25" t="s">
        <v>8</v>
      </c>
      <c r="AC35" s="90">
        <v>7</v>
      </c>
      <c r="AD35" s="208">
        <f t="shared" ca="1" si="1"/>
        <v>0</v>
      </c>
      <c r="AE35" s="209">
        <f t="shared" ca="1" si="2"/>
        <v>0</v>
      </c>
      <c r="AF35" s="210">
        <f t="shared" ca="1" si="3"/>
        <v>0</v>
      </c>
      <c r="AG35" s="208">
        <f t="shared" ca="1" si="4"/>
        <v>0</v>
      </c>
      <c r="AH35" s="209">
        <f t="shared" ca="1" si="5"/>
        <v>1</v>
      </c>
      <c r="AI35" s="206">
        <f t="shared" ca="1" si="6"/>
        <v>1</v>
      </c>
      <c r="AJ35" s="7"/>
      <c r="AK35" s="211">
        <v>0.5</v>
      </c>
      <c r="AL35" s="211">
        <v>0.3</v>
      </c>
      <c r="AM35"/>
      <c r="AN35"/>
    </row>
    <row r="36" spans="1:40" ht="15" customHeight="1" x14ac:dyDescent="0.25">
      <c r="C36" s="91">
        <v>8</v>
      </c>
      <c r="D36" s="177">
        <v>0</v>
      </c>
      <c r="E36" s="113">
        <v>8500</v>
      </c>
      <c r="F36" s="212">
        <v>0</v>
      </c>
      <c r="G36" s="177">
        <v>0</v>
      </c>
      <c r="H36" s="113">
        <v>0</v>
      </c>
      <c r="I36" s="213">
        <v>8500</v>
      </c>
      <c r="N36" s="8" t="s">
        <v>8</v>
      </c>
      <c r="P36" s="90" t="s">
        <v>191</v>
      </c>
      <c r="Q36" s="46">
        <f>MAX(0,MIN(50,G21-50))</f>
        <v>50</v>
      </c>
      <c r="R36" s="224">
        <v>1.3</v>
      </c>
      <c r="S36" s="225">
        <f>Q36*R36</f>
        <v>65</v>
      </c>
      <c r="AB36" s="25" t="s">
        <v>8</v>
      </c>
      <c r="AC36" s="91">
        <v>8</v>
      </c>
      <c r="AD36" s="215">
        <f t="shared" ca="1" si="1"/>
        <v>0</v>
      </c>
      <c r="AE36" s="216">
        <f t="shared" ca="1" si="2"/>
        <v>0</v>
      </c>
      <c r="AF36" s="217">
        <f t="shared" ca="1" si="3"/>
        <v>0</v>
      </c>
      <c r="AG36" s="215">
        <f t="shared" ca="1" si="4"/>
        <v>0</v>
      </c>
      <c r="AH36" s="216">
        <f t="shared" ca="1" si="5"/>
        <v>1</v>
      </c>
      <c r="AI36" s="213">
        <f t="shared" ca="1" si="6"/>
        <v>1</v>
      </c>
      <c r="AK36" s="211">
        <v>0.5</v>
      </c>
      <c r="AL36" s="211">
        <v>0.3</v>
      </c>
      <c r="AM36"/>
      <c r="AN36"/>
    </row>
    <row r="37" spans="1:40" ht="15" customHeight="1" x14ac:dyDescent="0.25">
      <c r="A37" s="5"/>
      <c r="C37" s="90">
        <v>9</v>
      </c>
      <c r="D37" s="172">
        <v>0</v>
      </c>
      <c r="E37" s="106">
        <v>8000</v>
      </c>
      <c r="F37" s="205">
        <v>0</v>
      </c>
      <c r="G37" s="172">
        <v>0</v>
      </c>
      <c r="H37" s="106">
        <v>0</v>
      </c>
      <c r="I37" s="206">
        <v>8000</v>
      </c>
      <c r="N37" s="8" t="s">
        <v>8</v>
      </c>
      <c r="P37" s="90" t="s">
        <v>192</v>
      </c>
      <c r="Q37" s="46">
        <f>MAX(0,MIN(300,G21-100))</f>
        <v>300</v>
      </c>
      <c r="R37" s="224">
        <v>1</v>
      </c>
      <c r="S37" s="225">
        <f>Q37*R37</f>
        <v>300</v>
      </c>
      <c r="AB37" s="25" t="s">
        <v>8</v>
      </c>
      <c r="AC37" s="90">
        <v>9</v>
      </c>
      <c r="AD37" s="208">
        <f t="shared" ca="1" si="1"/>
        <v>1</v>
      </c>
      <c r="AE37" s="209">
        <f t="shared" ca="1" si="2"/>
        <v>0</v>
      </c>
      <c r="AF37" s="210">
        <f t="shared" ca="1" si="3"/>
        <v>0</v>
      </c>
      <c r="AG37" s="208">
        <f t="shared" ca="1" si="4"/>
        <v>0</v>
      </c>
      <c r="AH37" s="209">
        <f t="shared" ca="1" si="5"/>
        <v>0</v>
      </c>
      <c r="AI37" s="206">
        <f t="shared" ca="1" si="6"/>
        <v>1</v>
      </c>
      <c r="AK37" s="211">
        <v>0.5</v>
      </c>
      <c r="AL37" s="211">
        <v>0.3</v>
      </c>
      <c r="AM37"/>
      <c r="AN37"/>
    </row>
    <row r="38" spans="1:40" ht="15" customHeight="1" x14ac:dyDescent="0.25">
      <c r="C38" s="91">
        <v>10</v>
      </c>
      <c r="D38" s="177">
        <v>0</v>
      </c>
      <c r="E38" s="113">
        <v>0</v>
      </c>
      <c r="F38" s="212">
        <v>7700</v>
      </c>
      <c r="G38" s="177">
        <v>0</v>
      </c>
      <c r="H38" s="113">
        <v>0</v>
      </c>
      <c r="I38" s="213">
        <v>7700</v>
      </c>
      <c r="K38" s="18"/>
      <c r="L38" s="18"/>
      <c r="M38" s="18"/>
      <c r="N38" s="8" t="s">
        <v>8</v>
      </c>
      <c r="P38" s="91" t="s">
        <v>193</v>
      </c>
      <c r="Q38" s="40">
        <f>MAX(0,G21-400)</f>
        <v>20</v>
      </c>
      <c r="R38" s="226">
        <v>0.9</v>
      </c>
      <c r="S38" s="227">
        <f>Q38*R38</f>
        <v>18</v>
      </c>
      <c r="Z38" s="7"/>
      <c r="AA38" s="7"/>
      <c r="AB38" s="25" t="s">
        <v>8</v>
      </c>
      <c r="AC38" s="91">
        <v>10</v>
      </c>
      <c r="AD38" s="215">
        <f t="shared" ca="1" si="1"/>
        <v>0</v>
      </c>
      <c r="AE38" s="216">
        <f t="shared" ca="1" si="2"/>
        <v>1</v>
      </c>
      <c r="AF38" s="217">
        <f t="shared" ca="1" si="3"/>
        <v>0</v>
      </c>
      <c r="AG38" s="215">
        <f t="shared" ca="1" si="4"/>
        <v>0</v>
      </c>
      <c r="AH38" s="216">
        <f t="shared" ca="1" si="5"/>
        <v>0</v>
      </c>
      <c r="AI38" s="213">
        <f t="shared" ca="1" si="6"/>
        <v>1</v>
      </c>
      <c r="AK38" s="211">
        <v>0.5</v>
      </c>
      <c r="AL38" s="211">
        <v>0.3</v>
      </c>
      <c r="AM38"/>
      <c r="AN38"/>
    </row>
    <row r="39" spans="1:40" ht="15" customHeight="1" x14ac:dyDescent="0.25">
      <c r="A39" s="9"/>
      <c r="B39" s="9"/>
      <c r="C39" s="90">
        <v>11</v>
      </c>
      <c r="D39" s="172">
        <v>3650</v>
      </c>
      <c r="E39" s="106">
        <v>0</v>
      </c>
      <c r="F39" s="205">
        <v>3650</v>
      </c>
      <c r="G39" s="172">
        <v>0</v>
      </c>
      <c r="H39" s="106">
        <v>0</v>
      </c>
      <c r="I39" s="206">
        <v>7300</v>
      </c>
      <c r="J39" s="18"/>
      <c r="K39" s="18"/>
      <c r="L39" s="18"/>
      <c r="M39" s="18"/>
      <c r="N39" s="8" t="s">
        <v>8</v>
      </c>
      <c r="P39" s="221" t="s">
        <v>17</v>
      </c>
      <c r="Q39" s="155">
        <f>SUM(Q35:Q38)</f>
        <v>420</v>
      </c>
      <c r="R39" s="66"/>
      <c r="S39" s="228">
        <f>SUM(S35:S38)</f>
        <v>508</v>
      </c>
      <c r="Z39" s="7"/>
      <c r="AA39" s="7"/>
      <c r="AB39" s="25" t="s">
        <v>8</v>
      </c>
      <c r="AC39" s="90">
        <v>11</v>
      </c>
      <c r="AD39" s="208">
        <f t="shared" ca="1" si="1"/>
        <v>1</v>
      </c>
      <c r="AE39" s="209">
        <f t="shared" ca="1" si="2"/>
        <v>0</v>
      </c>
      <c r="AF39" s="210">
        <f t="shared" ca="1" si="3"/>
        <v>0</v>
      </c>
      <c r="AG39" s="208">
        <f t="shared" ca="1" si="4"/>
        <v>1</v>
      </c>
      <c r="AH39" s="209">
        <f t="shared" ca="1" si="5"/>
        <v>0</v>
      </c>
      <c r="AI39" s="206">
        <f t="shared" ca="1" si="6"/>
        <v>2</v>
      </c>
      <c r="AK39" s="211">
        <v>0.5</v>
      </c>
      <c r="AL39" s="211">
        <v>0.3</v>
      </c>
      <c r="AM39"/>
      <c r="AN39"/>
    </row>
    <row r="40" spans="1:40" ht="15" customHeight="1" x14ac:dyDescent="0.25">
      <c r="A40" s="5"/>
      <c r="C40" s="91">
        <v>12</v>
      </c>
      <c r="D40" s="229">
        <v>1850</v>
      </c>
      <c r="E40" s="31">
        <v>0</v>
      </c>
      <c r="F40" s="230">
        <v>0</v>
      </c>
      <c r="G40" s="229">
        <v>1850</v>
      </c>
      <c r="H40" s="31">
        <v>0</v>
      </c>
      <c r="I40" s="213">
        <v>3700</v>
      </c>
      <c r="N40" s="8" t="s">
        <v>8</v>
      </c>
      <c r="Z40" s="32"/>
      <c r="AA40" s="32"/>
      <c r="AB40" s="25" t="s">
        <v>8</v>
      </c>
      <c r="AC40" s="91">
        <v>12</v>
      </c>
      <c r="AD40" s="231">
        <f t="shared" ca="1" si="1"/>
        <v>1</v>
      </c>
      <c r="AE40" s="232">
        <f t="shared" ca="1" si="2"/>
        <v>0</v>
      </c>
      <c r="AF40" s="233">
        <f t="shared" ca="1" si="3"/>
        <v>0</v>
      </c>
      <c r="AG40" s="231">
        <f t="shared" ca="1" si="4"/>
        <v>0</v>
      </c>
      <c r="AH40" s="232">
        <f t="shared" ca="1" si="5"/>
        <v>1</v>
      </c>
      <c r="AI40" s="213">
        <f t="shared" ca="1" si="6"/>
        <v>2</v>
      </c>
      <c r="AK40" s="211">
        <v>0.5</v>
      </c>
      <c r="AL40" s="211">
        <v>0.3</v>
      </c>
      <c r="AM40"/>
      <c r="AN40"/>
    </row>
    <row r="41" spans="1:40" ht="15" customHeight="1" x14ac:dyDescent="0.25">
      <c r="C41" s="90">
        <v>13</v>
      </c>
      <c r="D41" s="172">
        <v>0</v>
      </c>
      <c r="E41" s="106">
        <v>3300</v>
      </c>
      <c r="F41" s="205">
        <v>0</v>
      </c>
      <c r="G41" s="172">
        <v>0</v>
      </c>
      <c r="H41" s="106">
        <v>0</v>
      </c>
      <c r="I41" s="206">
        <v>3300</v>
      </c>
      <c r="N41" s="8" t="s">
        <v>8</v>
      </c>
      <c r="O41" s="7"/>
      <c r="P41" s="25" t="s">
        <v>182</v>
      </c>
      <c r="Q41" s="25" t="s">
        <v>10</v>
      </c>
      <c r="R41" s="25">
        <f>S39</f>
        <v>508</v>
      </c>
      <c r="S41" s="23" t="s">
        <v>194</v>
      </c>
      <c r="T41" s="25">
        <f>Q39</f>
        <v>420</v>
      </c>
      <c r="U41" s="25" t="s">
        <v>195</v>
      </c>
      <c r="V41" s="25">
        <v>1</v>
      </c>
      <c r="W41" s="7"/>
      <c r="X41" s="7"/>
      <c r="Y41" s="7"/>
      <c r="Z41" s="7"/>
      <c r="AA41" s="7"/>
      <c r="AB41" s="25" t="s">
        <v>8</v>
      </c>
      <c r="AC41" s="90">
        <v>13</v>
      </c>
      <c r="AD41" s="208">
        <f t="shared" ca="1" si="1"/>
        <v>1</v>
      </c>
      <c r="AE41" s="209">
        <f t="shared" ca="1" si="2"/>
        <v>0</v>
      </c>
      <c r="AF41" s="210">
        <f t="shared" ca="1" si="3"/>
        <v>0</v>
      </c>
      <c r="AG41" s="208">
        <f t="shared" ca="1" si="4"/>
        <v>1</v>
      </c>
      <c r="AH41" s="209">
        <f t="shared" ca="1" si="5"/>
        <v>1</v>
      </c>
      <c r="AI41" s="206">
        <f t="shared" ca="1" si="6"/>
        <v>3</v>
      </c>
      <c r="AK41" s="211">
        <v>0.5</v>
      </c>
      <c r="AL41" s="211">
        <v>0.3</v>
      </c>
      <c r="AM41"/>
      <c r="AN41"/>
    </row>
    <row r="42" spans="1:40" ht="15" customHeight="1" x14ac:dyDescent="0.25">
      <c r="C42" s="90">
        <v>14</v>
      </c>
      <c r="D42" s="172">
        <v>1700</v>
      </c>
      <c r="E42" s="106">
        <v>0</v>
      </c>
      <c r="F42" s="205">
        <v>0</v>
      </c>
      <c r="G42" s="172">
        <v>0</v>
      </c>
      <c r="H42" s="106">
        <v>0</v>
      </c>
      <c r="I42" s="206">
        <v>1700</v>
      </c>
      <c r="N42" s="8" t="s">
        <v>8</v>
      </c>
      <c r="O42" s="7"/>
      <c r="Q42" s="25" t="s">
        <v>10</v>
      </c>
      <c r="R42" s="214">
        <f>MAX(0,R41/T41-V41)</f>
        <v>0.20952380952380945</v>
      </c>
      <c r="S42" s="234" t="s">
        <v>196</v>
      </c>
      <c r="T42" s="25"/>
      <c r="U42" s="25"/>
      <c r="V42" s="25"/>
      <c r="W42" s="7"/>
      <c r="X42" s="7"/>
      <c r="Y42" s="7"/>
      <c r="Z42" s="7"/>
      <c r="AA42" s="7"/>
      <c r="AB42" s="25" t="s">
        <v>8</v>
      </c>
      <c r="AC42" s="90">
        <v>14</v>
      </c>
      <c r="AD42" s="208">
        <f t="shared" ca="1" si="1"/>
        <v>0</v>
      </c>
      <c r="AE42" s="209">
        <f t="shared" ca="1" si="2"/>
        <v>0</v>
      </c>
      <c r="AF42" s="210">
        <f t="shared" ca="1" si="3"/>
        <v>1</v>
      </c>
      <c r="AG42" s="208">
        <f t="shared" ca="1" si="4"/>
        <v>0</v>
      </c>
      <c r="AH42" s="209">
        <f t="shared" ca="1" si="5"/>
        <v>0</v>
      </c>
      <c r="AI42" s="206">
        <f t="shared" ca="1" si="6"/>
        <v>1</v>
      </c>
      <c r="AK42" s="211">
        <v>0.5</v>
      </c>
      <c r="AL42" s="211">
        <v>0.3</v>
      </c>
      <c r="AM42"/>
      <c r="AN42"/>
    </row>
    <row r="43" spans="1:40" ht="15" customHeight="1" thickBot="1" x14ac:dyDescent="0.3">
      <c r="C43" s="199">
        <v>15</v>
      </c>
      <c r="D43" s="235">
        <v>533.33333333333337</v>
      </c>
      <c r="E43" s="236">
        <v>0</v>
      </c>
      <c r="F43" s="237">
        <v>533.33333333333337</v>
      </c>
      <c r="G43" s="235">
        <v>0</v>
      </c>
      <c r="H43" s="236">
        <v>533.33333333333337</v>
      </c>
      <c r="I43" s="238">
        <v>1600</v>
      </c>
      <c r="N43" s="8" t="s">
        <v>8</v>
      </c>
      <c r="O43" s="7"/>
      <c r="P43" s="7"/>
      <c r="Q43" s="7"/>
      <c r="R43" s="7"/>
      <c r="S43" s="7"/>
      <c r="T43" s="7"/>
      <c r="U43" s="7"/>
      <c r="V43" s="32"/>
      <c r="W43" s="32"/>
      <c r="X43" s="32"/>
      <c r="Y43" s="32"/>
      <c r="Z43" s="7"/>
      <c r="AA43" s="7"/>
      <c r="AB43" s="25" t="s">
        <v>8</v>
      </c>
      <c r="AC43" s="199">
        <v>15</v>
      </c>
      <c r="AD43" s="239">
        <f t="shared" ca="1" si="1"/>
        <v>1</v>
      </c>
      <c r="AE43" s="240">
        <f t="shared" ca="1" si="2"/>
        <v>0</v>
      </c>
      <c r="AF43" s="241">
        <f t="shared" ca="1" si="3"/>
        <v>1</v>
      </c>
      <c r="AG43" s="239">
        <f t="shared" ca="1" si="4"/>
        <v>0</v>
      </c>
      <c r="AH43" s="240">
        <f t="shared" ca="1" si="5"/>
        <v>0</v>
      </c>
      <c r="AI43" s="238">
        <f t="shared" ca="1" si="6"/>
        <v>2</v>
      </c>
      <c r="AK43" s="211">
        <v>0.5</v>
      </c>
      <c r="AL43" s="211">
        <v>0.3</v>
      </c>
      <c r="AM43"/>
      <c r="AN43"/>
    </row>
    <row r="44" spans="1:40" ht="15" customHeight="1" x14ac:dyDescent="0.35">
      <c r="C44" s="93" t="s">
        <v>17</v>
      </c>
      <c r="D44" s="114">
        <v>46483.333333333336</v>
      </c>
      <c r="E44" s="213">
        <v>24700</v>
      </c>
      <c r="F44" s="242">
        <v>11883.333333333334</v>
      </c>
      <c r="G44" s="114">
        <v>28350</v>
      </c>
      <c r="H44" s="213">
        <v>5083.333333333333</v>
      </c>
      <c r="I44" s="213">
        <v>116500</v>
      </c>
      <c r="N44" s="8" t="s">
        <v>8</v>
      </c>
      <c r="O44" s="19" t="s">
        <v>197</v>
      </c>
      <c r="P44" s="7" t="s">
        <v>198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5" t="s">
        <v>8</v>
      </c>
      <c r="AC44" s="93" t="s">
        <v>17</v>
      </c>
      <c r="AD44" s="114">
        <f t="shared" ref="AD44:AI44" ca="1" si="7">SUM(AD29:AD43)</f>
        <v>8</v>
      </c>
      <c r="AE44" s="213">
        <f t="shared" ca="1" si="7"/>
        <v>2</v>
      </c>
      <c r="AF44" s="242">
        <f t="shared" ca="1" si="7"/>
        <v>5</v>
      </c>
      <c r="AG44" s="114">
        <f t="shared" ca="1" si="7"/>
        <v>2</v>
      </c>
      <c r="AH44" s="213">
        <f t="shared" ca="1" si="7"/>
        <v>6</v>
      </c>
      <c r="AI44" s="213">
        <f t="shared" ca="1" si="7"/>
        <v>23</v>
      </c>
      <c r="AM44"/>
      <c r="AN44"/>
    </row>
    <row r="45" spans="1:40" ht="15" customHeight="1" x14ac:dyDescent="0.25">
      <c r="C45" s="33" t="s">
        <v>199</v>
      </c>
      <c r="N45" s="8" t="s">
        <v>8</v>
      </c>
      <c r="O45" s="7"/>
      <c r="P45" s="39" t="s">
        <v>200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5" t="s">
        <v>8</v>
      </c>
      <c r="AC45" s="7"/>
      <c r="AD45" s="7"/>
      <c r="AM45"/>
      <c r="AN45"/>
    </row>
    <row r="46" spans="1:4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5" t="s">
        <v>8</v>
      </c>
      <c r="AC46" s="7"/>
      <c r="AD46" s="7"/>
      <c r="AM46"/>
      <c r="AN46"/>
    </row>
    <row r="47" spans="1:40" ht="15" customHeight="1" x14ac:dyDescent="0.25">
      <c r="N47" s="8" t="s">
        <v>8</v>
      </c>
      <c r="O47" s="7"/>
      <c r="P47" s="243" t="s">
        <v>201</v>
      </c>
      <c r="Q47" s="39" t="s">
        <v>202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25" t="s">
        <v>8</v>
      </c>
      <c r="AC47" s="7"/>
      <c r="AD47" s="7"/>
      <c r="AM47"/>
      <c r="AN47"/>
    </row>
    <row r="48" spans="1:40" ht="15" customHeight="1" x14ac:dyDescent="0.25">
      <c r="N48" s="8" t="s">
        <v>8</v>
      </c>
      <c r="O48" s="7"/>
      <c r="P48" s="244" t="s">
        <v>203</v>
      </c>
      <c r="Q48" s="39" t="s">
        <v>202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25" t="s">
        <v>8</v>
      </c>
      <c r="AC48" s="7"/>
      <c r="AD48" s="7"/>
      <c r="AM48"/>
      <c r="AN48"/>
    </row>
    <row r="49" spans="14:40" ht="15" customHeight="1" x14ac:dyDescent="0.25">
      <c r="N49" s="8" t="s">
        <v>8</v>
      </c>
      <c r="O49" s="7"/>
      <c r="P49" s="243" t="s">
        <v>204</v>
      </c>
      <c r="Q49" s="7" t="s">
        <v>205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25" t="s">
        <v>8</v>
      </c>
      <c r="AC49" s="7"/>
      <c r="AD49" s="7"/>
      <c r="AM49"/>
      <c r="AN49"/>
    </row>
    <row r="50" spans="14:40" ht="15" customHeight="1" x14ac:dyDescent="0.25">
      <c r="N50" s="8" t="s">
        <v>8</v>
      </c>
      <c r="O50" s="7"/>
      <c r="P50" s="244" t="s">
        <v>206</v>
      </c>
      <c r="Q50" s="7" t="s">
        <v>207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25" t="s">
        <v>8</v>
      </c>
      <c r="AC50" s="7"/>
      <c r="AD50" s="7"/>
      <c r="AM50"/>
      <c r="AN50"/>
    </row>
    <row r="51" spans="14:40" ht="15" customHeight="1" x14ac:dyDescent="0.25">
      <c r="N51" s="8" t="s">
        <v>8</v>
      </c>
      <c r="O51" s="7"/>
      <c r="P51" s="243"/>
      <c r="Q51" s="7" t="s">
        <v>208</v>
      </c>
      <c r="R51" s="7"/>
      <c r="S51" s="8" t="s">
        <v>10</v>
      </c>
      <c r="T51" s="245">
        <f>SUM(D29:D38)</f>
        <v>38750</v>
      </c>
      <c r="U51" s="7"/>
      <c r="V51" s="7"/>
      <c r="W51" s="7"/>
      <c r="X51" s="7"/>
      <c r="Y51" s="7"/>
      <c r="Z51" s="7"/>
      <c r="AA51" s="7"/>
      <c r="AB51" s="25" t="s">
        <v>8</v>
      </c>
      <c r="AM51"/>
      <c r="AN51"/>
    </row>
    <row r="52" spans="14:40" ht="15" customHeight="1" x14ac:dyDescent="0.25">
      <c r="N52" s="8" t="s">
        <v>8</v>
      </c>
      <c r="O52" s="7"/>
      <c r="P52" s="7"/>
      <c r="Q52" s="7" t="s">
        <v>209</v>
      </c>
      <c r="R52" s="7"/>
      <c r="S52" s="8" t="s">
        <v>10</v>
      </c>
      <c r="T52" s="7">
        <f>SUM(E29:E38)</f>
        <v>21400</v>
      </c>
      <c r="U52" s="7"/>
      <c r="V52" s="7"/>
      <c r="W52" s="7"/>
      <c r="X52" s="7"/>
      <c r="Y52" s="7"/>
      <c r="Z52" s="7"/>
      <c r="AA52" s="7"/>
      <c r="AB52" s="25" t="s">
        <v>8</v>
      </c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5" t="s">
        <v>8</v>
      </c>
      <c r="AM53"/>
      <c r="AN53"/>
    </row>
    <row r="54" spans="14:40" ht="15" customHeight="1" x14ac:dyDescent="0.25">
      <c r="N54" s="8" t="s">
        <v>8</v>
      </c>
      <c r="O54" s="7"/>
      <c r="P54" s="243" t="s">
        <v>210</v>
      </c>
      <c r="Q54" s="7" t="s">
        <v>211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25" t="s">
        <v>8</v>
      </c>
      <c r="AM54"/>
      <c r="AN54"/>
    </row>
    <row r="55" spans="14:40" ht="15" customHeight="1" x14ac:dyDescent="0.25">
      <c r="N55" s="8" t="s">
        <v>8</v>
      </c>
      <c r="O55" s="7"/>
      <c r="P55" s="7"/>
      <c r="Q55" s="8">
        <f>T51</f>
        <v>38750</v>
      </c>
      <c r="R55" s="8" t="s">
        <v>19</v>
      </c>
      <c r="S55" s="246">
        <f>G15</f>
        <v>0.01</v>
      </c>
      <c r="T55" s="8" t="s">
        <v>10</v>
      </c>
      <c r="U55" s="8">
        <f>Q55*S55</f>
        <v>387.5</v>
      </c>
      <c r="V55" s="7"/>
      <c r="W55" s="7"/>
      <c r="X55" s="7"/>
      <c r="Y55" s="7"/>
      <c r="Z55" s="7"/>
      <c r="AA55" s="7"/>
      <c r="AB55" s="25" t="s">
        <v>8</v>
      </c>
      <c r="AM55"/>
      <c r="AN55"/>
    </row>
    <row r="56" spans="14:40" ht="15" customHeight="1" x14ac:dyDescent="0.25">
      <c r="N56" s="8" t="s">
        <v>8</v>
      </c>
      <c r="O56" s="7"/>
      <c r="P56" s="7"/>
      <c r="Q56" s="8">
        <f>T52</f>
        <v>21400</v>
      </c>
      <c r="R56" s="8" t="s">
        <v>19</v>
      </c>
      <c r="S56" s="246">
        <f>G9</f>
        <v>0.05</v>
      </c>
      <c r="T56" s="8" t="s">
        <v>10</v>
      </c>
      <c r="U56" s="8">
        <f>Q56*S56</f>
        <v>1070</v>
      </c>
      <c r="V56" s="7"/>
      <c r="W56" s="7"/>
      <c r="X56" s="7"/>
      <c r="Y56" s="7"/>
      <c r="Z56" s="7"/>
      <c r="AA56" s="7"/>
      <c r="AB56" s="25" t="s">
        <v>8</v>
      </c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247">
        <f>SUM(U55:U56)</f>
        <v>1457.5</v>
      </c>
      <c r="V57" s="248" t="s">
        <v>212</v>
      </c>
      <c r="W57" s="7"/>
      <c r="X57" s="7"/>
      <c r="Y57" s="7"/>
      <c r="Z57" s="7"/>
      <c r="AA57" s="7"/>
      <c r="AB57" s="25" t="s">
        <v>8</v>
      </c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5" t="s">
        <v>8</v>
      </c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5" t="s">
        <v>8</v>
      </c>
      <c r="AC59" s="7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213</v>
      </c>
      <c r="N2" s="25" t="s">
        <v>8</v>
      </c>
      <c r="O2" s="249" t="s">
        <v>214</v>
      </c>
      <c r="P2" s="250">
        <f>Q6</f>
        <v>1836.1162874251497</v>
      </c>
      <c r="Q2" s="245"/>
      <c r="R2" s="249" t="s">
        <v>215</v>
      </c>
      <c r="S2" s="250">
        <f>Q32</f>
        <v>1266</v>
      </c>
      <c r="T2" s="245"/>
      <c r="U2" s="245"/>
      <c r="V2" s="245"/>
      <c r="W2" s="245"/>
      <c r="X2" s="245"/>
      <c r="Y2" s="245"/>
      <c r="Z2" s="245"/>
      <c r="AA2" s="245"/>
      <c r="AB2" s="25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216</v>
      </c>
      <c r="N3" s="25" t="s">
        <v>8</v>
      </c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5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51" t="s">
        <v>217</v>
      </c>
      <c r="P4" s="252" t="s">
        <v>10</v>
      </c>
      <c r="Q4" s="252" t="s">
        <v>218</v>
      </c>
      <c r="R4" s="252" t="s">
        <v>11</v>
      </c>
      <c r="S4" s="252" t="s">
        <v>133</v>
      </c>
      <c r="T4" s="252" t="s">
        <v>11</v>
      </c>
      <c r="U4" s="253" t="s">
        <v>134</v>
      </c>
      <c r="V4" s="8"/>
      <c r="W4" s="8"/>
      <c r="X4" s="8"/>
      <c r="Y4" s="8"/>
      <c r="Z4" s="8"/>
      <c r="AA4" s="245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55" t="s">
        <v>219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8" t="s">
        <v>8</v>
      </c>
      <c r="O5" s="245"/>
      <c r="P5" s="8" t="s">
        <v>10</v>
      </c>
      <c r="Q5" s="8">
        <f>Q9</f>
        <v>1337.26</v>
      </c>
      <c r="R5" s="8" t="s">
        <v>11</v>
      </c>
      <c r="S5" s="8">
        <f>Q13</f>
        <v>344.85628742514973</v>
      </c>
      <c r="T5" s="8" t="s">
        <v>11</v>
      </c>
      <c r="U5" s="8">
        <f>Q28</f>
        <v>154</v>
      </c>
      <c r="V5" s="245"/>
      <c r="W5" s="245"/>
      <c r="X5" s="245"/>
      <c r="Y5" s="245"/>
      <c r="Z5" s="245"/>
      <c r="AA5" s="245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35">
      <c r="A6" s="27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8" t="s">
        <v>8</v>
      </c>
      <c r="O6" s="245"/>
      <c r="P6" s="8" t="s">
        <v>10</v>
      </c>
      <c r="Q6" s="254">
        <f>Q5+S5+U5</f>
        <v>1836.1162874251497</v>
      </c>
      <c r="R6" s="255" t="s">
        <v>220</v>
      </c>
      <c r="S6" s="8"/>
      <c r="T6" s="8"/>
      <c r="U6" s="8"/>
      <c r="V6" s="245"/>
      <c r="W6" s="245"/>
      <c r="X6" s="245"/>
      <c r="Y6" s="245"/>
      <c r="Z6" s="245"/>
      <c r="AA6" s="245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245"/>
      <c r="D7" s="256"/>
      <c r="E7" s="257"/>
      <c r="F7" s="258"/>
      <c r="G7" s="257"/>
      <c r="H7" s="257" t="s">
        <v>221</v>
      </c>
      <c r="I7" s="258"/>
      <c r="J7" s="258" t="s">
        <v>222</v>
      </c>
      <c r="K7" s="245"/>
      <c r="L7" s="245"/>
      <c r="M7" s="245"/>
      <c r="N7" s="8" t="s">
        <v>8</v>
      </c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245"/>
      <c r="D8" s="259" t="s">
        <v>223</v>
      </c>
      <c r="E8" s="260"/>
      <c r="F8" s="261"/>
      <c r="G8" s="260" t="s">
        <v>140</v>
      </c>
      <c r="H8" s="260" t="s">
        <v>224</v>
      </c>
      <c r="I8" s="261" t="s">
        <v>185</v>
      </c>
      <c r="J8" s="261" t="s">
        <v>225</v>
      </c>
      <c r="K8" s="245"/>
      <c r="L8" s="245"/>
      <c r="M8" s="245"/>
      <c r="N8" s="8" t="s">
        <v>8</v>
      </c>
      <c r="O8" s="245" t="s">
        <v>218</v>
      </c>
      <c r="P8" s="8" t="s">
        <v>10</v>
      </c>
      <c r="Q8" s="262" t="s">
        <v>226</v>
      </c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245"/>
      <c r="D9" s="264" t="s">
        <v>144</v>
      </c>
      <c r="E9" s="265"/>
      <c r="F9" s="266"/>
      <c r="G9" s="267">
        <v>820</v>
      </c>
      <c r="H9" s="268">
        <v>0</v>
      </c>
      <c r="I9" s="269">
        <v>0</v>
      </c>
      <c r="J9" s="270">
        <v>3.0000000000000001E-3</v>
      </c>
      <c r="K9" s="245"/>
      <c r="L9" s="245"/>
      <c r="M9" s="245"/>
      <c r="N9" s="8" t="s">
        <v>8</v>
      </c>
      <c r="O9" s="245"/>
      <c r="P9" s="8" t="s">
        <v>10</v>
      </c>
      <c r="Q9" s="263">
        <f>SUMPRODUCT(G9:G17,J9:J17)</f>
        <v>1337.26</v>
      </c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245"/>
      <c r="D10" s="264" t="s">
        <v>148</v>
      </c>
      <c r="E10" s="265"/>
      <c r="F10" s="266"/>
      <c r="G10" s="267">
        <v>1100</v>
      </c>
      <c r="H10" s="272">
        <v>0</v>
      </c>
      <c r="I10" s="269">
        <v>21</v>
      </c>
      <c r="J10" s="270">
        <v>0.05</v>
      </c>
      <c r="K10" s="245"/>
      <c r="L10" s="245"/>
      <c r="M10" s="245"/>
      <c r="N10" s="8" t="s">
        <v>8</v>
      </c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245"/>
      <c r="D11" s="273" t="s">
        <v>152</v>
      </c>
      <c r="E11" s="274"/>
      <c r="F11" s="275"/>
      <c r="G11" s="276">
        <v>22100</v>
      </c>
      <c r="H11" s="277">
        <v>13300</v>
      </c>
      <c r="I11" s="278">
        <v>34</v>
      </c>
      <c r="J11" s="279">
        <v>0</v>
      </c>
      <c r="K11" s="245"/>
      <c r="L11" s="245"/>
      <c r="M11" s="245"/>
      <c r="N11" s="8" t="s">
        <v>8</v>
      </c>
      <c r="O11" s="245" t="s">
        <v>133</v>
      </c>
      <c r="P11" s="8" t="s">
        <v>10</v>
      </c>
      <c r="Q11" s="8" t="s">
        <v>182</v>
      </c>
      <c r="R11" s="8" t="s">
        <v>19</v>
      </c>
      <c r="S11" s="262" t="s">
        <v>227</v>
      </c>
      <c r="T11" s="245"/>
      <c r="U11" s="245"/>
      <c r="V11" s="245"/>
      <c r="W11" s="245"/>
      <c r="X11" s="245"/>
      <c r="Y11" s="245"/>
      <c r="Z11" s="245"/>
      <c r="AA11" s="245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245"/>
      <c r="D12" s="264" t="s">
        <v>228</v>
      </c>
      <c r="E12" s="280"/>
      <c r="F12" s="281"/>
      <c r="G12" s="267">
        <v>177600</v>
      </c>
      <c r="H12" s="268">
        <v>106600</v>
      </c>
      <c r="I12" s="282">
        <v>180</v>
      </c>
      <c r="J12" s="270">
        <v>3.0000000000000001E-3</v>
      </c>
      <c r="K12" s="245"/>
      <c r="L12" s="245"/>
      <c r="M12" s="245"/>
      <c r="N12" s="8" t="s">
        <v>8</v>
      </c>
      <c r="O12" s="245"/>
      <c r="P12" s="8" t="s">
        <v>10</v>
      </c>
      <c r="Q12" s="283">
        <f>S25</f>
        <v>0.26946107784431139</v>
      </c>
      <c r="R12" s="8" t="s">
        <v>19</v>
      </c>
      <c r="S12" s="8">
        <f>SUMPRODUCT(G12:G17,J12:J17)</f>
        <v>1279.8</v>
      </c>
      <c r="T12" s="245"/>
      <c r="U12" s="245"/>
      <c r="V12" s="245"/>
      <c r="W12" s="245"/>
      <c r="X12" s="245"/>
      <c r="Y12" s="245"/>
      <c r="Z12" s="245"/>
      <c r="AA12" s="245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245"/>
      <c r="D13" s="264" t="s">
        <v>229</v>
      </c>
      <c r="E13" s="280"/>
      <c r="F13" s="281"/>
      <c r="G13" s="267">
        <v>23500</v>
      </c>
      <c r="H13" s="272">
        <v>0</v>
      </c>
      <c r="I13" s="282">
        <v>74</v>
      </c>
      <c r="J13" s="270">
        <v>0.01</v>
      </c>
      <c r="K13" s="245"/>
      <c r="L13" s="245"/>
      <c r="M13" s="245"/>
      <c r="N13" s="8" t="s">
        <v>8</v>
      </c>
      <c r="O13" s="245"/>
      <c r="P13" s="8" t="s">
        <v>10</v>
      </c>
      <c r="Q13" s="263">
        <f>Q12*S12</f>
        <v>344.85628742514973</v>
      </c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245"/>
      <c r="D14" s="264" t="s">
        <v>230</v>
      </c>
      <c r="E14" s="280"/>
      <c r="F14" s="281"/>
      <c r="G14" s="267">
        <v>15600</v>
      </c>
      <c r="H14" s="272">
        <v>6200</v>
      </c>
      <c r="I14" s="282">
        <v>59</v>
      </c>
      <c r="J14" s="270">
        <v>0.02</v>
      </c>
      <c r="K14" s="245"/>
      <c r="L14" s="245"/>
      <c r="M14" s="245"/>
      <c r="N14" s="8" t="s">
        <v>8</v>
      </c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245"/>
      <c r="D15" s="264" t="s">
        <v>231</v>
      </c>
      <c r="E15" s="280"/>
      <c r="F15" s="281"/>
      <c r="G15" s="267">
        <v>0</v>
      </c>
      <c r="H15" s="272">
        <v>0</v>
      </c>
      <c r="I15" s="282">
        <v>0</v>
      </c>
      <c r="J15" s="270">
        <v>4.4999999999999998E-2</v>
      </c>
      <c r="K15" s="245"/>
      <c r="L15" s="245"/>
      <c r="M15" s="245"/>
      <c r="N15" s="8" t="s">
        <v>8</v>
      </c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245"/>
      <c r="D16" s="264" t="s">
        <v>232</v>
      </c>
      <c r="E16" s="280"/>
      <c r="F16" s="281"/>
      <c r="G16" s="267">
        <v>800</v>
      </c>
      <c r="H16" s="272">
        <v>300</v>
      </c>
      <c r="I16" s="282">
        <v>15</v>
      </c>
      <c r="J16" s="270">
        <v>0.1</v>
      </c>
      <c r="K16" s="245"/>
      <c r="L16" s="245"/>
      <c r="M16" s="245"/>
      <c r="N16" s="8" t="s">
        <v>8</v>
      </c>
      <c r="O16" s="245"/>
      <c r="P16" s="207" t="s">
        <v>184</v>
      </c>
      <c r="Q16" s="219" t="s">
        <v>185</v>
      </c>
      <c r="R16" s="220" t="s">
        <v>185</v>
      </c>
      <c r="S16" s="220" t="s">
        <v>186</v>
      </c>
      <c r="T16" s="87"/>
      <c r="X16" s="245"/>
      <c r="Y16" s="245"/>
      <c r="Z16" s="245"/>
      <c r="AA16" s="245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245"/>
      <c r="D17" s="273" t="s">
        <v>233</v>
      </c>
      <c r="E17" s="274"/>
      <c r="F17" s="275"/>
      <c r="G17" s="276">
        <v>400</v>
      </c>
      <c r="H17" s="277">
        <v>100</v>
      </c>
      <c r="I17" s="284">
        <v>6</v>
      </c>
      <c r="J17" s="279">
        <v>0.3</v>
      </c>
      <c r="K17" s="245"/>
      <c r="L17" s="245"/>
      <c r="M17" s="245"/>
      <c r="N17" s="8" t="s">
        <v>8</v>
      </c>
      <c r="O17" s="245"/>
      <c r="Q17" s="221" t="str">
        <f>"= "&amp;SUM(I12:I17)</f>
        <v>= 334</v>
      </c>
      <c r="R17" s="222" t="s">
        <v>187</v>
      </c>
      <c r="S17" s="222" t="s">
        <v>188</v>
      </c>
      <c r="T17" s="223" t="s">
        <v>189</v>
      </c>
      <c r="X17" s="245"/>
      <c r="Y17" s="245"/>
      <c r="Z17" s="245"/>
      <c r="AA17" s="245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245"/>
      <c r="D18" s="262"/>
      <c r="E18" s="245"/>
      <c r="F18" s="245"/>
      <c r="G18" s="245"/>
      <c r="H18" s="245"/>
      <c r="I18" s="245"/>
      <c r="J18" s="245"/>
      <c r="K18" s="245"/>
      <c r="L18" s="245"/>
      <c r="M18" s="245"/>
      <c r="N18" s="8" t="s">
        <v>8</v>
      </c>
      <c r="O18" s="245"/>
      <c r="Q18" s="90" t="s">
        <v>190</v>
      </c>
      <c r="R18" s="265">
        <f>MIN(50,SUM(I12:I17))</f>
        <v>50</v>
      </c>
      <c r="S18" s="224">
        <v>2.5</v>
      </c>
      <c r="T18" s="225">
        <f>R18*S18</f>
        <v>125</v>
      </c>
      <c r="X18" s="245"/>
      <c r="Y18" s="245"/>
      <c r="Z18" s="245"/>
      <c r="AA18" s="245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55" t="s">
        <v>234</v>
      </c>
      <c r="D19" s="262"/>
      <c r="E19" s="245"/>
      <c r="F19" s="245"/>
      <c r="G19" s="245"/>
      <c r="H19" s="245"/>
      <c r="I19" s="245"/>
      <c r="J19" s="245"/>
      <c r="K19" s="245"/>
      <c r="L19" s="245"/>
      <c r="M19" s="245"/>
      <c r="N19" s="8" t="s">
        <v>8</v>
      </c>
      <c r="O19" s="245"/>
      <c r="Q19" s="90" t="s">
        <v>191</v>
      </c>
      <c r="R19" s="265">
        <f>MAX(0,MIN(50,SUM(I12:I17)-50))</f>
        <v>50</v>
      </c>
      <c r="S19" s="224">
        <v>1.3</v>
      </c>
      <c r="T19" s="225">
        <f>R19*S19</f>
        <v>65</v>
      </c>
      <c r="X19" s="245"/>
      <c r="Y19" s="245"/>
      <c r="Z19" s="245"/>
      <c r="AA19" s="245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245"/>
      <c r="D20" s="262"/>
      <c r="E20" s="245"/>
      <c r="F20" s="245"/>
      <c r="G20" s="245"/>
      <c r="H20" s="245"/>
      <c r="I20" s="245"/>
      <c r="J20" s="245"/>
      <c r="K20" s="245"/>
      <c r="L20" s="245"/>
      <c r="M20" s="245"/>
      <c r="N20" s="8" t="s">
        <v>8</v>
      </c>
      <c r="O20" s="245"/>
      <c r="Q20" s="90" t="s">
        <v>192</v>
      </c>
      <c r="R20" s="265">
        <f>MAX(0,MIN(300,SUM(I12:I17)-100))</f>
        <v>234</v>
      </c>
      <c r="S20" s="224">
        <v>1</v>
      </c>
      <c r="T20" s="225">
        <f>R20*S20</f>
        <v>234</v>
      </c>
      <c r="X20" s="245"/>
      <c r="Y20" s="245"/>
      <c r="Z20" s="245"/>
      <c r="AA20" s="245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245"/>
      <c r="D21" s="285"/>
      <c r="E21" s="286"/>
      <c r="F21" s="287"/>
      <c r="G21" s="288"/>
      <c r="H21" s="288" t="s">
        <v>221</v>
      </c>
      <c r="I21" s="287"/>
      <c r="J21" s="289" t="s">
        <v>222</v>
      </c>
      <c r="K21" s="245"/>
      <c r="L21" s="245"/>
      <c r="M21" s="245"/>
      <c r="N21" s="8" t="s">
        <v>8</v>
      </c>
      <c r="O21" s="245"/>
      <c r="Q21" s="91" t="s">
        <v>193</v>
      </c>
      <c r="R21" s="48">
        <f>MAX(0,SUM(I12:I17)-400)</f>
        <v>0</v>
      </c>
      <c r="S21" s="226">
        <v>0.9</v>
      </c>
      <c r="T21" s="227">
        <f>R21*S21</f>
        <v>0</v>
      </c>
      <c r="X21" s="245"/>
      <c r="Y21" s="245"/>
      <c r="Z21" s="245"/>
      <c r="AA21" s="245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45"/>
      <c r="D22" s="290" t="s">
        <v>223</v>
      </c>
      <c r="E22" s="291"/>
      <c r="F22" s="292"/>
      <c r="G22" s="293" t="s">
        <v>140</v>
      </c>
      <c r="H22" s="293" t="s">
        <v>224</v>
      </c>
      <c r="I22" s="294" t="s">
        <v>185</v>
      </c>
      <c r="J22" s="294" t="s">
        <v>225</v>
      </c>
      <c r="K22" s="245"/>
      <c r="L22" s="245"/>
      <c r="M22" s="245"/>
      <c r="N22" s="8" t="s">
        <v>8</v>
      </c>
      <c r="O22" s="245"/>
      <c r="Q22" s="221" t="s">
        <v>17</v>
      </c>
      <c r="R22" s="155">
        <f>SUM(R18:R21)</f>
        <v>334</v>
      </c>
      <c r="S22" s="66"/>
      <c r="T22" s="228">
        <f>SUM(T18:T21)</f>
        <v>424</v>
      </c>
      <c r="X22" s="245"/>
      <c r="Y22" s="245"/>
      <c r="Z22" s="245"/>
      <c r="AA22" s="245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45"/>
      <c r="D23" s="264" t="s">
        <v>235</v>
      </c>
      <c r="E23" s="280"/>
      <c r="F23" s="281"/>
      <c r="G23" s="267">
        <v>4500</v>
      </c>
      <c r="H23" s="267">
        <v>3600</v>
      </c>
      <c r="I23" s="209" t="s">
        <v>236</v>
      </c>
      <c r="J23" s="270">
        <v>0.15</v>
      </c>
      <c r="K23" s="245"/>
      <c r="L23" s="245"/>
      <c r="M23" s="245"/>
      <c r="N23" s="8" t="s">
        <v>8</v>
      </c>
      <c r="O23" s="245"/>
      <c r="X23" s="245"/>
      <c r="Y23" s="245"/>
      <c r="Z23" s="245"/>
      <c r="AA23" s="245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245"/>
      <c r="D24" s="264" t="s">
        <v>237</v>
      </c>
      <c r="E24" s="280"/>
      <c r="F24" s="281"/>
      <c r="G24" s="267">
        <v>0</v>
      </c>
      <c r="H24" s="267">
        <v>0</v>
      </c>
      <c r="I24" s="209" t="s">
        <v>236</v>
      </c>
      <c r="J24" s="270">
        <v>0.2</v>
      </c>
      <c r="K24" s="245"/>
      <c r="L24" s="245"/>
      <c r="M24" s="245"/>
      <c r="N24" s="8" t="s">
        <v>8</v>
      </c>
      <c r="O24" s="245"/>
      <c r="P24" s="7"/>
      <c r="Q24" s="25" t="s">
        <v>182</v>
      </c>
      <c r="R24" s="25" t="s">
        <v>10</v>
      </c>
      <c r="S24" s="25">
        <f>T22</f>
        <v>424</v>
      </c>
      <c r="T24" s="23" t="s">
        <v>194</v>
      </c>
      <c r="U24" s="25">
        <f>R22</f>
        <v>334</v>
      </c>
      <c r="V24" s="25" t="s">
        <v>195</v>
      </c>
      <c r="W24" s="25">
        <v>1</v>
      </c>
      <c r="X24" s="245"/>
      <c r="Y24" s="245"/>
      <c r="Z24" s="245"/>
      <c r="AA24" s="245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245"/>
      <c r="D25" s="273" t="s">
        <v>179</v>
      </c>
      <c r="E25" s="274"/>
      <c r="F25" s="275"/>
      <c r="G25" s="276">
        <v>0</v>
      </c>
      <c r="H25" s="276">
        <v>0</v>
      </c>
      <c r="I25" s="216" t="s">
        <v>236</v>
      </c>
      <c r="J25" s="279">
        <v>0.1</v>
      </c>
      <c r="K25" s="245"/>
      <c r="L25" s="245"/>
      <c r="M25" s="245"/>
      <c r="N25" s="8" t="s">
        <v>8</v>
      </c>
      <c r="O25" s="245"/>
      <c r="P25" s="7"/>
      <c r="R25" s="25" t="s">
        <v>10</v>
      </c>
      <c r="S25" s="295">
        <f>MAX(0,S24/U24-W24)</f>
        <v>0.26946107784431139</v>
      </c>
      <c r="T25" s="234" t="s">
        <v>196</v>
      </c>
      <c r="U25" s="25"/>
      <c r="V25" s="25"/>
      <c r="W25" s="25"/>
      <c r="X25" s="245"/>
      <c r="Y25" s="245"/>
      <c r="Z25" s="245"/>
      <c r="AA25" s="245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245"/>
      <c r="D26" s="264" t="s">
        <v>238</v>
      </c>
      <c r="E26" s="280"/>
      <c r="F26" s="281"/>
      <c r="G26" s="267">
        <v>0</v>
      </c>
      <c r="H26" s="296">
        <v>0</v>
      </c>
      <c r="I26" s="297" t="s">
        <v>236</v>
      </c>
      <c r="J26" s="270">
        <v>3.0000000000000001E-3</v>
      </c>
      <c r="K26" s="245"/>
      <c r="L26" s="245"/>
      <c r="M26" s="245"/>
      <c r="N26" s="8" t="s">
        <v>8</v>
      </c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245"/>
      <c r="D27" s="264" t="s">
        <v>239</v>
      </c>
      <c r="E27" s="280"/>
      <c r="F27" s="281"/>
      <c r="G27" s="267">
        <v>20</v>
      </c>
      <c r="H27" s="267">
        <v>20</v>
      </c>
      <c r="I27" s="209" t="s">
        <v>236</v>
      </c>
      <c r="J27" s="270">
        <v>0.01</v>
      </c>
      <c r="K27" s="245"/>
      <c r="L27" s="245"/>
      <c r="M27" s="245"/>
      <c r="N27" s="8" t="s">
        <v>8</v>
      </c>
      <c r="O27" s="245" t="s">
        <v>134</v>
      </c>
      <c r="P27" s="8" t="s">
        <v>10</v>
      </c>
      <c r="Q27" s="262" t="s">
        <v>240</v>
      </c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245"/>
      <c r="D28" s="264" t="s">
        <v>241</v>
      </c>
      <c r="E28" s="280"/>
      <c r="F28" s="281"/>
      <c r="G28" s="267">
        <v>110</v>
      </c>
      <c r="H28" s="267">
        <v>90</v>
      </c>
      <c r="I28" s="209" t="s">
        <v>236</v>
      </c>
      <c r="J28" s="270">
        <v>0.02</v>
      </c>
      <c r="K28" s="245"/>
      <c r="L28" s="245"/>
      <c r="M28" s="245"/>
      <c r="N28" s="8" t="s">
        <v>8</v>
      </c>
      <c r="O28" s="245"/>
      <c r="P28" s="8" t="s">
        <v>10</v>
      </c>
      <c r="Q28" s="263">
        <f>SUMPRODUCT(H13:H16,J13:J16) + H10*J10</f>
        <v>154</v>
      </c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245"/>
      <c r="D29" s="264" t="s">
        <v>242</v>
      </c>
      <c r="E29" s="280"/>
      <c r="F29" s="281"/>
      <c r="G29" s="267">
        <v>200</v>
      </c>
      <c r="H29" s="267">
        <v>80</v>
      </c>
      <c r="I29" s="209" t="s">
        <v>236</v>
      </c>
      <c r="J29" s="270">
        <v>4.4999999999999998E-2</v>
      </c>
      <c r="K29" s="245"/>
      <c r="L29" s="245"/>
      <c r="M29" s="245"/>
      <c r="N29" s="8" t="s">
        <v>8</v>
      </c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35">
      <c r="C30" s="245"/>
      <c r="D30" s="264" t="s">
        <v>243</v>
      </c>
      <c r="E30" s="280"/>
      <c r="F30" s="281"/>
      <c r="G30" s="267">
        <v>160</v>
      </c>
      <c r="H30" s="267">
        <v>60</v>
      </c>
      <c r="I30" s="209" t="s">
        <v>236</v>
      </c>
      <c r="J30" s="270">
        <v>0.1</v>
      </c>
      <c r="K30" s="245"/>
      <c r="L30" s="245"/>
      <c r="M30" s="245"/>
      <c r="N30" s="8" t="s">
        <v>8</v>
      </c>
      <c r="O30" s="298" t="s">
        <v>66</v>
      </c>
      <c r="P30" s="299" t="s">
        <v>10</v>
      </c>
      <c r="Q30" s="299" t="s">
        <v>218</v>
      </c>
      <c r="R30" s="299" t="s">
        <v>11</v>
      </c>
      <c r="S30" s="299" t="s">
        <v>134</v>
      </c>
      <c r="T30" s="300"/>
      <c r="U30" s="301"/>
      <c r="V30" s="245"/>
      <c r="W30" s="245"/>
      <c r="X30" s="245"/>
      <c r="Y30" s="245"/>
      <c r="Z30" s="245"/>
      <c r="AA30" s="245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245"/>
      <c r="D31" s="273" t="s">
        <v>244</v>
      </c>
      <c r="E31" s="274"/>
      <c r="F31" s="275"/>
      <c r="G31" s="276">
        <v>40</v>
      </c>
      <c r="H31" s="302">
        <v>0</v>
      </c>
      <c r="I31" s="216" t="s">
        <v>236</v>
      </c>
      <c r="J31" s="279">
        <v>0.3</v>
      </c>
      <c r="K31" s="245"/>
      <c r="L31" s="245"/>
      <c r="M31" s="245"/>
      <c r="N31" s="8" t="s">
        <v>8</v>
      </c>
      <c r="O31" s="245"/>
      <c r="P31" s="8" t="s">
        <v>10</v>
      </c>
      <c r="Q31" s="8">
        <f>Q35</f>
        <v>714.40000000000009</v>
      </c>
      <c r="R31" s="8" t="s">
        <v>11</v>
      </c>
      <c r="S31" s="8">
        <f>Q38</f>
        <v>551.6</v>
      </c>
      <c r="T31" s="245"/>
      <c r="U31" s="245"/>
      <c r="V31" s="245"/>
      <c r="W31" s="245"/>
      <c r="X31" s="245"/>
      <c r="Y31" s="245"/>
      <c r="Z31" s="245"/>
      <c r="AA31" s="245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35"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8" t="s">
        <v>8</v>
      </c>
      <c r="O32" s="245"/>
      <c r="P32" s="8" t="s">
        <v>10</v>
      </c>
      <c r="Q32" s="254">
        <f>Q31+S31</f>
        <v>1266</v>
      </c>
      <c r="R32" s="255" t="s">
        <v>245</v>
      </c>
      <c r="S32" s="8"/>
      <c r="T32" s="245"/>
      <c r="U32" s="245"/>
      <c r="V32" s="245"/>
      <c r="W32" s="245"/>
      <c r="X32" s="245"/>
      <c r="Y32" s="245"/>
      <c r="Z32" s="245"/>
      <c r="AA32" s="245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8" t="s">
        <v>8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8" t="s">
        <v>8</v>
      </c>
      <c r="AC33" s="7"/>
      <c r="AD33" s="7"/>
      <c r="AE33" s="7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 s="5" t="s">
        <v>14</v>
      </c>
      <c r="C34" s="303" t="s">
        <v>246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8" t="s">
        <v>8</v>
      </c>
      <c r="O34" s="245" t="s">
        <v>218</v>
      </c>
      <c r="P34" s="8" t="s">
        <v>10</v>
      </c>
      <c r="Q34" s="262" t="s">
        <v>226</v>
      </c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8" t="s">
        <v>8</v>
      </c>
      <c r="AC34" s="7"/>
      <c r="AD34" s="7"/>
      <c r="AE34" s="7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8" t="s">
        <v>8</v>
      </c>
      <c r="O35" s="245"/>
      <c r="P35" s="8" t="s">
        <v>10</v>
      </c>
      <c r="Q35" s="304">
        <f>SUMPRODUCT(G23:G31,J23:J31)</f>
        <v>714.40000000000009</v>
      </c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8" t="s">
        <v>8</v>
      </c>
      <c r="AC35" s="7"/>
      <c r="AD35" s="7"/>
      <c r="AE35" s="7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245"/>
      <c r="K36" s="245"/>
      <c r="L36" s="245"/>
      <c r="M36" s="245"/>
      <c r="N36" s="8" t="s">
        <v>8</v>
      </c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8" t="s">
        <v>8</v>
      </c>
      <c r="AC36" s="7"/>
      <c r="AD36" s="7"/>
      <c r="AE36" s="7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245"/>
      <c r="K37" s="245"/>
      <c r="L37" s="245"/>
      <c r="M37" s="245"/>
      <c r="N37" s="8" t="s">
        <v>8</v>
      </c>
      <c r="O37" s="245" t="s">
        <v>134</v>
      </c>
      <c r="P37" s="8" t="s">
        <v>10</v>
      </c>
      <c r="Q37" s="262" t="s">
        <v>240</v>
      </c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8" t="s">
        <v>8</v>
      </c>
      <c r="AC37" s="7"/>
      <c r="AD37" s="7"/>
      <c r="AE37" s="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245"/>
      <c r="K38" s="245"/>
      <c r="L38" s="245"/>
      <c r="M38" s="245"/>
      <c r="N38" s="8" t="s">
        <v>8</v>
      </c>
      <c r="O38" s="245"/>
      <c r="P38" s="245"/>
      <c r="Q38" s="304">
        <f>SUMPRODUCT(H27:H30,J27:J30)+SUMPRODUCT(H23:H25,J23:J25)</f>
        <v>551.6</v>
      </c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8" t="s">
        <v>8</v>
      </c>
      <c r="AC38" s="7"/>
      <c r="AD38" s="7"/>
      <c r="AE38" s="7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8" t="s">
        <v>8</v>
      </c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8" t="s">
        <v>8</v>
      </c>
      <c r="AC39" s="7"/>
      <c r="AD39" s="7"/>
      <c r="AE39" s="7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8" t="s">
        <v>8</v>
      </c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8" t="s">
        <v>8</v>
      </c>
      <c r="AC40" s="32"/>
      <c r="AD40" s="32"/>
      <c r="AE40" s="7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8" t="s">
        <v>8</v>
      </c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8" t="s">
        <v>8</v>
      </c>
      <c r="AC41" s="7"/>
      <c r="AD41" s="7"/>
      <c r="AE41" s="7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8" t="s">
        <v>8</v>
      </c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8" t="s">
        <v>8</v>
      </c>
      <c r="AC42" s="7"/>
      <c r="AD42" s="7"/>
      <c r="AE42" s="7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8" t="s">
        <v>8</v>
      </c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8" t="s">
        <v>8</v>
      </c>
      <c r="AC43" s="7"/>
      <c r="AD43" s="7"/>
      <c r="AE43" s="7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8" t="s">
        <v>8</v>
      </c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8" t="s">
        <v>8</v>
      </c>
      <c r="AC44" s="7"/>
      <c r="AD44" s="7"/>
      <c r="AE44" s="7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8" t="s">
        <v>8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8" t="s">
        <v>8</v>
      </c>
      <c r="AC45" s="7"/>
      <c r="AD45" s="7"/>
      <c r="AE45" s="7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8" t="s">
        <v>8</v>
      </c>
      <c r="AC46" s="7"/>
      <c r="AD46" s="7"/>
      <c r="AE46" s="7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8" t="s">
        <v>8</v>
      </c>
      <c r="AC47" s="7"/>
      <c r="AD47" s="7"/>
      <c r="AE47" s="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8" t="s">
        <v>8</v>
      </c>
      <c r="AC48" s="7"/>
      <c r="AD48" s="7"/>
      <c r="AE48" s="7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8" t="s">
        <v>8</v>
      </c>
      <c r="AC49" s="7"/>
      <c r="AD49" s="7"/>
      <c r="AE49" s="7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8" t="s">
        <v>8</v>
      </c>
      <c r="AC50" s="7"/>
      <c r="AD50" s="7"/>
      <c r="AE50" s="7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8" t="s">
        <v>8</v>
      </c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8" t="s">
        <v>8</v>
      </c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8" t="s">
        <v>8</v>
      </c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8" t="s">
        <v>8</v>
      </c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8" t="s">
        <v>8</v>
      </c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8" t="s">
        <v>8</v>
      </c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8" t="s">
        <v>8</v>
      </c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8" t="s">
        <v>8</v>
      </c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146</v>
      </c>
      <c r="N2" s="25" t="s">
        <v>8</v>
      </c>
      <c r="O2" s="249" t="s">
        <v>247</v>
      </c>
      <c r="P2" s="250">
        <f>Q6</f>
        <v>18676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25" t="s">
        <v>8</v>
      </c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248</v>
      </c>
      <c r="N3" s="25" t="s">
        <v>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25" t="s">
        <v>8</v>
      </c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2" t="s">
        <v>249</v>
      </c>
      <c r="P4" s="17" t="s">
        <v>10</v>
      </c>
      <c r="Q4" s="305" t="s">
        <v>250</v>
      </c>
      <c r="R4" s="17"/>
      <c r="S4" s="17"/>
      <c r="T4" s="17" t="s">
        <v>11</v>
      </c>
      <c r="U4" s="305" t="s">
        <v>251</v>
      </c>
      <c r="V4" s="17"/>
      <c r="W4" s="17"/>
      <c r="X4" s="306" t="s">
        <v>252</v>
      </c>
      <c r="Y4" s="9"/>
      <c r="Z4" s="9"/>
      <c r="AA4" s="9"/>
      <c r="AB4" s="8" t="s">
        <v>8</v>
      </c>
      <c r="AC4" s="9"/>
      <c r="AD4" s="9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19" t="s">
        <v>253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/>
      <c r="P5" s="17" t="s">
        <v>10</v>
      </c>
      <c r="Q5" s="9">
        <f>U14</f>
        <v>2017</v>
      </c>
      <c r="R5" s="9"/>
      <c r="S5" s="9"/>
      <c r="T5" s="17" t="s">
        <v>11</v>
      </c>
      <c r="U5" s="9">
        <f>S25</f>
        <v>16659</v>
      </c>
      <c r="V5" s="9"/>
      <c r="W5" s="9"/>
      <c r="X5" s="53" t="s">
        <v>254</v>
      </c>
      <c r="Y5" s="9"/>
      <c r="Z5" s="9"/>
      <c r="AA5" s="9"/>
      <c r="AB5" s="8" t="s">
        <v>8</v>
      </c>
      <c r="AC5" s="9"/>
      <c r="AD5" s="9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7"/>
      <c r="M6" s="9"/>
      <c r="N6" s="8" t="s">
        <v>8</v>
      </c>
      <c r="P6" s="17" t="s">
        <v>10</v>
      </c>
      <c r="Q6" s="37">
        <f>Q5+U5+0</f>
        <v>18676</v>
      </c>
      <c r="R6" s="24" t="s">
        <v>255</v>
      </c>
      <c r="AA6" s="9"/>
      <c r="AB6" s="8" t="s">
        <v>8</v>
      </c>
      <c r="AC6" s="9"/>
      <c r="AD6" s="9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307" t="s">
        <v>256</v>
      </c>
      <c r="D7" s="26"/>
      <c r="E7" s="26"/>
      <c r="F7" s="26"/>
      <c r="G7" s="26"/>
      <c r="H7" s="21"/>
      <c r="I7" s="308" t="s">
        <v>140</v>
      </c>
      <c r="J7" s="308" t="s">
        <v>141</v>
      </c>
      <c r="K7" s="309"/>
      <c r="L7" s="309"/>
      <c r="M7" s="9"/>
      <c r="N7" s="8" t="s">
        <v>8</v>
      </c>
      <c r="AA7" s="9"/>
      <c r="AB7" s="8" t="s">
        <v>8</v>
      </c>
      <c r="AC7" s="55" t="s">
        <v>256</v>
      </c>
      <c r="AD7" s="9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310"/>
      <c r="D8" s="29" t="s">
        <v>257</v>
      </c>
      <c r="E8" s="29"/>
      <c r="F8" s="29"/>
      <c r="G8" s="29"/>
      <c r="H8" s="80"/>
      <c r="I8" s="28">
        <v>13700</v>
      </c>
      <c r="J8" s="311">
        <v>0.01</v>
      </c>
      <c r="K8" s="312"/>
      <c r="L8" s="312"/>
      <c r="M8" s="9"/>
      <c r="N8" s="8" t="s">
        <v>8</v>
      </c>
      <c r="O8" s="19" t="s">
        <v>258</v>
      </c>
      <c r="P8" s="9"/>
      <c r="Q8" s="9"/>
      <c r="R8" s="9"/>
      <c r="S8" s="9"/>
      <c r="T8" s="9"/>
      <c r="U8" s="9"/>
      <c r="V8" s="9"/>
      <c r="W8" s="313" t="s">
        <v>140</v>
      </c>
      <c r="X8" s="9"/>
      <c r="Y8" s="313" t="s">
        <v>141</v>
      </c>
      <c r="Z8" s="309"/>
      <c r="AA8" s="9"/>
      <c r="AB8" s="8" t="s">
        <v>8</v>
      </c>
      <c r="AC8" s="18">
        <v>0.35</v>
      </c>
      <c r="AD8" s="9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310"/>
      <c r="D9" s="29" t="s">
        <v>259</v>
      </c>
      <c r="E9" s="29"/>
      <c r="F9" s="29"/>
      <c r="G9" s="29"/>
      <c r="H9" s="80"/>
      <c r="I9" s="28">
        <v>0</v>
      </c>
      <c r="J9" s="311">
        <v>0.05</v>
      </c>
      <c r="K9" s="312"/>
      <c r="L9" s="312"/>
      <c r="M9" s="9"/>
      <c r="N9" s="8" t="s">
        <v>8</v>
      </c>
      <c r="O9" s="9"/>
      <c r="P9" s="9" t="s">
        <v>257</v>
      </c>
      <c r="Q9" s="9"/>
      <c r="R9" s="9"/>
      <c r="S9" s="9"/>
      <c r="T9" s="9"/>
      <c r="U9" s="9">
        <f t="shared" ref="U9:U10" si="0">I8*J8</f>
        <v>137</v>
      </c>
      <c r="V9" s="17" t="s">
        <v>10</v>
      </c>
      <c r="W9" s="17">
        <f>I8</f>
        <v>13700</v>
      </c>
      <c r="X9" s="17" t="s">
        <v>19</v>
      </c>
      <c r="Y9" s="314">
        <f>J8</f>
        <v>0.01</v>
      </c>
      <c r="Z9" s="314"/>
      <c r="AA9" s="9"/>
      <c r="AB9" s="8" t="s">
        <v>8</v>
      </c>
      <c r="AC9" s="18">
        <v>0.1</v>
      </c>
      <c r="AD9" s="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310"/>
      <c r="D10" s="29" t="s">
        <v>260</v>
      </c>
      <c r="E10" s="29"/>
      <c r="F10" s="29"/>
      <c r="G10" s="29"/>
      <c r="H10" s="80"/>
      <c r="I10" s="28">
        <v>26000</v>
      </c>
      <c r="J10" s="311">
        <v>0.05</v>
      </c>
      <c r="K10" s="312"/>
      <c r="L10" s="312"/>
      <c r="M10" s="9"/>
      <c r="N10" s="8" t="s">
        <v>8</v>
      </c>
      <c r="O10" s="9"/>
      <c r="P10" s="9" t="s">
        <v>259</v>
      </c>
      <c r="Q10" s="9"/>
      <c r="R10" s="9"/>
      <c r="S10" s="9"/>
      <c r="T10" s="9"/>
      <c r="U10" s="9">
        <f t="shared" si="0"/>
        <v>0</v>
      </c>
      <c r="V10" s="17" t="s">
        <v>10</v>
      </c>
      <c r="W10" s="17">
        <f t="shared" ref="W10:W13" si="1">I9</f>
        <v>0</v>
      </c>
      <c r="X10" s="17" t="s">
        <v>19</v>
      </c>
      <c r="Y10" s="314">
        <f t="shared" ref="Y10:Y13" si="2">J9</f>
        <v>0.05</v>
      </c>
      <c r="Z10" s="314"/>
      <c r="AA10" s="9"/>
      <c r="AB10" s="8" t="s">
        <v>8</v>
      </c>
      <c r="AC10" s="18">
        <v>0.4</v>
      </c>
      <c r="AD10" s="9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310"/>
      <c r="D11" s="29" t="s">
        <v>261</v>
      </c>
      <c r="E11" s="29"/>
      <c r="F11" s="29"/>
      <c r="G11" s="29"/>
      <c r="H11" s="80"/>
      <c r="I11" s="28">
        <v>9300</v>
      </c>
      <c r="J11" s="311">
        <v>0.05</v>
      </c>
      <c r="K11" s="312"/>
      <c r="L11" s="312"/>
      <c r="M11" s="9"/>
      <c r="N11" s="8" t="s">
        <v>8</v>
      </c>
      <c r="O11" s="9"/>
      <c r="P11" s="9" t="s">
        <v>260</v>
      </c>
      <c r="Q11" s="9"/>
      <c r="R11" s="9"/>
      <c r="S11" s="9"/>
      <c r="T11" s="9"/>
      <c r="U11" s="9">
        <f>I10*J10</f>
        <v>1300</v>
      </c>
      <c r="V11" s="17" t="s">
        <v>10</v>
      </c>
      <c r="W11" s="17">
        <f t="shared" si="1"/>
        <v>26000</v>
      </c>
      <c r="X11" s="17" t="s">
        <v>19</v>
      </c>
      <c r="Y11" s="314">
        <f t="shared" si="2"/>
        <v>0.05</v>
      </c>
      <c r="Z11" s="314"/>
      <c r="AA11" s="9"/>
      <c r="AB11" s="8" t="s">
        <v>8</v>
      </c>
      <c r="AC11" s="18">
        <v>0.3</v>
      </c>
      <c r="AD11" s="9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315"/>
      <c r="D12" s="30" t="s">
        <v>262</v>
      </c>
      <c r="E12" s="30"/>
      <c r="F12" s="30"/>
      <c r="G12" s="30"/>
      <c r="H12" s="86"/>
      <c r="I12" s="31">
        <v>2300</v>
      </c>
      <c r="J12" s="316">
        <v>0.05</v>
      </c>
      <c r="K12" s="312"/>
      <c r="L12" s="312"/>
      <c r="M12" s="9"/>
      <c r="N12" s="8" t="s">
        <v>8</v>
      </c>
      <c r="O12" s="9"/>
      <c r="P12" s="9" t="s">
        <v>261</v>
      </c>
      <c r="Q12" s="9"/>
      <c r="R12" s="9"/>
      <c r="S12" s="9"/>
      <c r="T12" s="9"/>
      <c r="U12" s="9">
        <f>I11*J11</f>
        <v>465</v>
      </c>
      <c r="V12" s="17" t="s">
        <v>10</v>
      </c>
      <c r="W12" s="17">
        <f t="shared" si="1"/>
        <v>9300</v>
      </c>
      <c r="X12" s="17" t="s">
        <v>19</v>
      </c>
      <c r="Y12" s="314">
        <f t="shared" si="2"/>
        <v>0.05</v>
      </c>
      <c r="Z12" s="314"/>
      <c r="AA12" s="9"/>
      <c r="AB12" s="8" t="s">
        <v>8</v>
      </c>
      <c r="AC12" s="18">
        <v>0.2</v>
      </c>
      <c r="AD12" s="9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317" t="s">
        <v>263</v>
      </c>
      <c r="D13" s="30"/>
      <c r="E13" s="30"/>
      <c r="F13" s="30"/>
      <c r="G13" s="30"/>
      <c r="H13" s="86"/>
      <c r="I13" s="318" t="s">
        <v>63</v>
      </c>
      <c r="J13" s="319"/>
      <c r="K13" s="41"/>
      <c r="L13" s="41"/>
      <c r="M13" s="9"/>
      <c r="N13" s="8" t="s">
        <v>8</v>
      </c>
      <c r="O13" s="9"/>
      <c r="P13" s="9" t="s">
        <v>262</v>
      </c>
      <c r="Q13" s="9"/>
      <c r="R13" s="9"/>
      <c r="S13" s="9"/>
      <c r="T13" s="9"/>
      <c r="U13" s="9">
        <f>I12*J12</f>
        <v>115</v>
      </c>
      <c r="V13" s="17" t="s">
        <v>10</v>
      </c>
      <c r="W13" s="17">
        <f t="shared" si="1"/>
        <v>2300</v>
      </c>
      <c r="X13" s="17" t="s">
        <v>19</v>
      </c>
      <c r="Y13" s="314">
        <f t="shared" si="2"/>
        <v>0.05</v>
      </c>
      <c r="Z13" s="314"/>
      <c r="AA13" s="9"/>
      <c r="AB13" s="8" t="s">
        <v>8</v>
      </c>
      <c r="AC13" s="55" t="s">
        <v>263</v>
      </c>
      <c r="AD13" s="9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20" t="s">
        <v>264</v>
      </c>
      <c r="D14" s="29" t="s">
        <v>265</v>
      </c>
      <c r="E14" s="29"/>
      <c r="F14" s="29"/>
      <c r="G14" s="29"/>
      <c r="H14" s="80"/>
      <c r="I14" s="28">
        <v>16470</v>
      </c>
      <c r="J14" s="321" t="s">
        <v>146</v>
      </c>
      <c r="K14" s="322"/>
      <c r="L14" s="322"/>
      <c r="M14" s="9"/>
      <c r="N14" s="8" t="s">
        <v>8</v>
      </c>
      <c r="U14" s="323">
        <f>SUM(U9:U13)</f>
        <v>2017</v>
      </c>
      <c r="V14" s="248" t="s">
        <v>266</v>
      </c>
      <c r="W14" s="9"/>
      <c r="X14" s="9"/>
      <c r="Y14" s="9"/>
      <c r="Z14" s="9"/>
      <c r="AA14" s="9"/>
      <c r="AB14" s="8" t="s">
        <v>8</v>
      </c>
      <c r="AC14" s="18">
        <v>3</v>
      </c>
      <c r="AD14" s="9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324" t="s">
        <v>267</v>
      </c>
      <c r="D15" s="30" t="s">
        <v>268</v>
      </c>
      <c r="E15" s="30"/>
      <c r="F15" s="30"/>
      <c r="G15" s="30"/>
      <c r="H15" s="86"/>
      <c r="I15" s="31">
        <v>189</v>
      </c>
      <c r="J15" s="325" t="s">
        <v>146</v>
      </c>
      <c r="K15" s="322"/>
      <c r="L15" s="322"/>
      <c r="M15" s="9"/>
      <c r="N15" s="8" t="s">
        <v>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 s="18">
        <v>0.1</v>
      </c>
      <c r="AD15" s="9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 t="s">
        <v>8</v>
      </c>
      <c r="O16" s="19" t="s">
        <v>269</v>
      </c>
      <c r="P16" s="9"/>
      <c r="Q16" s="9"/>
      <c r="R16" s="9"/>
      <c r="S16" s="9"/>
      <c r="T16" s="9"/>
      <c r="U16" s="9">
        <f>SUM(I14:I15)</f>
        <v>16659</v>
      </c>
      <c r="V16" s="9" t="s">
        <v>270</v>
      </c>
      <c r="W16" s="9"/>
      <c r="X16" s="9"/>
      <c r="Y16" s="9"/>
      <c r="Z16" s="9"/>
      <c r="AA16" s="9"/>
      <c r="AB16" s="8" t="s">
        <v>8</v>
      </c>
      <c r="AD16" s="9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6" t="s">
        <v>271</v>
      </c>
      <c r="M17" s="9"/>
      <c r="N17" s="8" t="s">
        <v>8</v>
      </c>
      <c r="O17" s="9"/>
      <c r="P17" s="9"/>
      <c r="Q17" s="9"/>
      <c r="R17" s="9"/>
      <c r="S17" s="9"/>
      <c r="T17" s="9"/>
      <c r="V17" s="35"/>
      <c r="W17" s="9"/>
      <c r="X17" s="9"/>
      <c r="Y17" s="9"/>
      <c r="Z17" s="9"/>
      <c r="AA17" s="9"/>
      <c r="AB17" s="8" t="s">
        <v>8</v>
      </c>
      <c r="AC17" s="9"/>
      <c r="AD17" s="9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35">
      <c r="C18" s="6" t="s">
        <v>272</v>
      </c>
      <c r="M18" s="9"/>
      <c r="N18" s="8" t="s">
        <v>8</v>
      </c>
      <c r="O18" s="9" t="s">
        <v>273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 s="9"/>
      <c r="AD18" s="9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M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 s="9"/>
      <c r="AD19" s="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35">
      <c r="C20" s="35" t="s">
        <v>274</v>
      </c>
      <c r="I20" s="9"/>
      <c r="J20" s="9"/>
      <c r="K20" s="9"/>
      <c r="L20" s="9"/>
      <c r="M20" s="9"/>
      <c r="N20" s="8" t="s">
        <v>8</v>
      </c>
      <c r="O20" s="9" t="s">
        <v>275</v>
      </c>
      <c r="W20" s="17" t="s">
        <v>10</v>
      </c>
      <c r="X20" s="7">
        <f>H24</f>
        <v>1900</v>
      </c>
      <c r="AA20" s="9"/>
      <c r="AB20" s="8" t="s">
        <v>8</v>
      </c>
      <c r="AC20" s="9"/>
      <c r="AD20" s="9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I21" s="9"/>
      <c r="J21" s="326"/>
      <c r="K21" s="326"/>
      <c r="L21" s="326"/>
      <c r="M21" s="9"/>
      <c r="N21" s="8" t="s">
        <v>8</v>
      </c>
      <c r="O21" s="9" t="s">
        <v>276</v>
      </c>
      <c r="P21" s="9"/>
      <c r="Q21" s="9"/>
      <c r="R21" s="9"/>
      <c r="S21" s="9"/>
      <c r="T21" s="9"/>
      <c r="U21" s="9"/>
      <c r="V21" s="9"/>
      <c r="W21" s="17" t="s">
        <v>10</v>
      </c>
      <c r="X21" s="327">
        <f>U14+0.5*U16</f>
        <v>10346.5</v>
      </c>
      <c r="Y21" s="328"/>
      <c r="Z21" s="328"/>
      <c r="AA21" s="9"/>
      <c r="AB21" s="8" t="s">
        <v>8</v>
      </c>
      <c r="AC21" s="9"/>
      <c r="AD21" s="9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35">
      <c r="C22" s="5" t="s">
        <v>277</v>
      </c>
      <c r="H22" s="9"/>
      <c r="I22" s="9"/>
      <c r="J22" s="9"/>
      <c r="K22" s="9"/>
      <c r="L22" s="9"/>
      <c r="M22" s="9"/>
      <c r="N22" s="8" t="s">
        <v>8</v>
      </c>
      <c r="U22" s="9"/>
      <c r="V22" s="9"/>
      <c r="W22" s="9"/>
      <c r="X22" s="9"/>
      <c r="Y22" s="9"/>
      <c r="Z22" s="9"/>
      <c r="AA22" s="9"/>
      <c r="AB22" s="8" t="s">
        <v>8</v>
      </c>
      <c r="AC22" s="5" t="s">
        <v>278</v>
      </c>
      <c r="AD22" s="9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35">
      <c r="M23" s="9"/>
      <c r="N23" s="8" t="s">
        <v>8</v>
      </c>
      <c r="O23" s="9" t="s">
        <v>279</v>
      </c>
      <c r="P23" s="329" t="str">
        <f>IF(X20&gt;X21,"is greater","less than or equal")</f>
        <v>less than or equal</v>
      </c>
      <c r="Q23" s="329"/>
      <c r="R23" s="32" t="s">
        <v>117</v>
      </c>
      <c r="S23" s="330" t="str">
        <f>IF(X20&gt;X21,"put 50% of ","put 100%")</f>
        <v>put 100%</v>
      </c>
      <c r="T23" s="330"/>
      <c r="U23" s="8">
        <f>U16</f>
        <v>16659</v>
      </c>
      <c r="V23" s="9" t="s">
        <v>280</v>
      </c>
      <c r="W23" s="9"/>
      <c r="X23" s="9"/>
      <c r="Y23" s="9"/>
      <c r="Z23" s="9"/>
      <c r="AA23" s="9"/>
      <c r="AB23" s="8" t="s">
        <v>8</v>
      </c>
      <c r="AC23" s="9"/>
      <c r="AD23" s="9"/>
      <c r="AE23" s="9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35">
      <c r="C24" s="331" t="s">
        <v>281</v>
      </c>
      <c r="D24" s="26"/>
      <c r="E24" s="26"/>
      <c r="F24" s="15"/>
      <c r="G24" s="26"/>
      <c r="H24" s="332">
        <v>1900</v>
      </c>
      <c r="I24" s="9"/>
      <c r="J24" s="9"/>
      <c r="K24" s="9"/>
      <c r="L24" s="9"/>
      <c r="M24" s="9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 s="18">
        <v>0.25</v>
      </c>
      <c r="AD24" s="9"/>
      <c r="AE24" s="9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3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 t="s">
        <v>8</v>
      </c>
      <c r="O25" s="9" t="s">
        <v>282</v>
      </c>
      <c r="P25" s="9"/>
      <c r="Q25" s="9"/>
      <c r="R25" s="17" t="s">
        <v>10</v>
      </c>
      <c r="S25" s="263">
        <f>IF(X20&gt;X21,0.5*U16,U16)</f>
        <v>16659</v>
      </c>
      <c r="T25" s="248" t="s">
        <v>283</v>
      </c>
      <c r="V25" s="9"/>
      <c r="W25" s="9"/>
      <c r="X25" s="9"/>
      <c r="Y25" s="9"/>
      <c r="Z25" s="9"/>
      <c r="AA25" s="9"/>
      <c r="AB25" s="8" t="s">
        <v>8</v>
      </c>
      <c r="AC25" s="9"/>
      <c r="AD25" s="9"/>
      <c r="AE25" s="9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AA26" s="9"/>
      <c r="AB26" s="8" t="s">
        <v>8</v>
      </c>
      <c r="AC26" s="7"/>
      <c r="AD26" s="7"/>
      <c r="AE26" s="7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8</v>
      </c>
      <c r="O27" s="9"/>
      <c r="P27" s="9"/>
      <c r="Q27" s="9"/>
      <c r="R27" s="17"/>
      <c r="S27" s="333"/>
      <c r="T27" s="17"/>
      <c r="U27" s="17"/>
      <c r="V27" s="9"/>
      <c r="W27" s="9"/>
      <c r="X27" s="9"/>
      <c r="Y27" s="9"/>
      <c r="Z27" s="9"/>
      <c r="AA27" s="9"/>
      <c r="AB27" s="8" t="s">
        <v>8</v>
      </c>
      <c r="AC27" s="7"/>
      <c r="AD27" s="7"/>
      <c r="AE27" s="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 s="7"/>
      <c r="AD28" s="7"/>
      <c r="AE28" s="7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 s="7"/>
      <c r="AD29" s="7"/>
      <c r="AE29" s="7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 t="s">
        <v>8</v>
      </c>
      <c r="AC30" s="7"/>
      <c r="AD30" s="7"/>
      <c r="AE30" s="7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" t="s">
        <v>8</v>
      </c>
      <c r="AC31" s="7"/>
      <c r="AD31" s="7"/>
      <c r="AE31" s="7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 t="s">
        <v>8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" t="s">
        <v>8</v>
      </c>
      <c r="AC32" s="7"/>
      <c r="AD32" s="7"/>
      <c r="AE32" s="7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8" t="s">
        <v>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" t="s">
        <v>8</v>
      </c>
      <c r="AC33" s="7"/>
      <c r="AD33" s="7"/>
      <c r="AE33" s="7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 t="s">
        <v>8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8" t="s">
        <v>8</v>
      </c>
      <c r="AC34" s="7"/>
      <c r="AD34" s="7"/>
      <c r="AE34" s="7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 t="s">
        <v>8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8" t="s">
        <v>8</v>
      </c>
      <c r="AC35" s="7"/>
      <c r="AD35" s="7"/>
      <c r="AE35" s="7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8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8" t="s">
        <v>8</v>
      </c>
      <c r="AC36" s="7"/>
      <c r="AD36" s="7"/>
      <c r="AE36" s="7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8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8" t="s">
        <v>8</v>
      </c>
      <c r="AC37" s="7"/>
      <c r="AD37" s="7"/>
      <c r="AE37" s="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 t="s">
        <v>8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8" t="s">
        <v>8</v>
      </c>
      <c r="AC38" s="7"/>
      <c r="AD38" s="7"/>
      <c r="AE38" s="7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8" t="s">
        <v>8</v>
      </c>
      <c r="AC39" s="7"/>
      <c r="AD39" s="7"/>
      <c r="AE39" s="7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8" t="s">
        <v>8</v>
      </c>
      <c r="AC40" s="32"/>
      <c r="AD40" s="32"/>
      <c r="AE40" s="7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8" t="s">
        <v>8</v>
      </c>
      <c r="AC41" s="7"/>
      <c r="AD41" s="7"/>
      <c r="AE41" s="7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 t="s">
        <v>8</v>
      </c>
      <c r="AC42" s="7"/>
      <c r="AD42" s="7"/>
      <c r="AE42" s="7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 t="s">
        <v>8</v>
      </c>
      <c r="AC43" s="7"/>
      <c r="AD43" s="7"/>
      <c r="AE43" s="7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8" t="s">
        <v>8</v>
      </c>
      <c r="AC44" s="7"/>
      <c r="AD44" s="7"/>
      <c r="AE44" s="7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8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8" t="s">
        <v>8</v>
      </c>
      <c r="AC45" s="7"/>
      <c r="AD45" s="7"/>
      <c r="AE45" s="7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8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8" t="s">
        <v>8</v>
      </c>
      <c r="AC46" s="7"/>
      <c r="AD46" s="7"/>
      <c r="AE46" s="7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8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8" t="s">
        <v>8</v>
      </c>
      <c r="AC47" s="7"/>
      <c r="AD47" s="7"/>
      <c r="AE47" s="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8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8" t="s">
        <v>8</v>
      </c>
      <c r="AC48" s="7"/>
      <c r="AD48" s="7"/>
      <c r="AE48" s="7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8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8" t="s">
        <v>8</v>
      </c>
      <c r="AC49" s="7"/>
      <c r="AD49" s="7"/>
      <c r="AE49" s="7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8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8" t="s">
        <v>8</v>
      </c>
      <c r="AC50" s="7"/>
      <c r="AD50" s="7"/>
      <c r="AE50" s="7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8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8" t="s">
        <v>8</v>
      </c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8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8" t="s">
        <v>8</v>
      </c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8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8" t="s">
        <v>8</v>
      </c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8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8" t="s">
        <v>8</v>
      </c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8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8" t="s">
        <v>8</v>
      </c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8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8" t="s">
        <v>8</v>
      </c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8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8" t="s">
        <v>8</v>
      </c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8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8" t="s">
        <v>8</v>
      </c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8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8" t="s">
        <v>8</v>
      </c>
      <c r="AC59" s="7"/>
      <c r="AD59" s="7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146</v>
      </c>
      <c r="N2" s="25" t="s">
        <v>8</v>
      </c>
      <c r="AB2" s="8" t="s">
        <v>8</v>
      </c>
    </row>
    <row r="3" spans="1:28" ht="15" customHeight="1" x14ac:dyDescent="0.35">
      <c r="A3" s="5" t="s">
        <v>5</v>
      </c>
      <c r="C3" s="6" t="s">
        <v>284</v>
      </c>
      <c r="N3" s="25" t="s">
        <v>8</v>
      </c>
      <c r="O3" s="6" t="s">
        <v>285</v>
      </c>
      <c r="V3" s="33" t="s">
        <v>286</v>
      </c>
      <c r="Y3" s="148">
        <f>S55</f>
        <v>7754.7748326412893</v>
      </c>
      <c r="Z3" s="33" t="s">
        <v>287</v>
      </c>
      <c r="AB3" s="8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/>
      <c r="H6" s="220"/>
      <c r="I6" s="337"/>
      <c r="K6" s="9"/>
      <c r="L6" s="9"/>
      <c r="M6" s="9"/>
      <c r="N6" s="8" t="s">
        <v>8</v>
      </c>
      <c r="O6" s="6" t="s">
        <v>289</v>
      </c>
      <c r="R6" s="338"/>
      <c r="S6" s="339" t="s">
        <v>290</v>
      </c>
      <c r="T6" s="340" t="s">
        <v>10</v>
      </c>
      <c r="U6" s="341" t="s">
        <v>291</v>
      </c>
      <c r="V6" s="342"/>
      <c r="W6" s="343"/>
      <c r="X6" s="342"/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/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292</v>
      </c>
      <c r="H8" s="40" t="s">
        <v>293</v>
      </c>
      <c r="I8" s="346" t="s">
        <v>294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296</v>
      </c>
      <c r="D9" s="62"/>
      <c r="E9" s="62"/>
      <c r="F9" s="63"/>
      <c r="G9" s="62"/>
      <c r="H9" s="62"/>
      <c r="I9" s="347">
        <v>0.95199999999999996</v>
      </c>
      <c r="J9" s="9"/>
      <c r="K9" s="9"/>
      <c r="L9" s="9"/>
      <c r="M9" s="9"/>
      <c r="N9" s="8" t="s">
        <v>8</v>
      </c>
      <c r="O9" s="207"/>
      <c r="P9" s="25" t="s">
        <v>16</v>
      </c>
      <c r="Q9" s="23" t="s">
        <v>10</v>
      </c>
      <c r="R9" s="6" t="s">
        <v>297</v>
      </c>
      <c r="V9" s="23" t="s">
        <v>10</v>
      </c>
      <c r="W9" s="348">
        <f>0.5*S14+0.5*Q19</f>
        <v>0.43566176470588236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299</v>
      </c>
      <c r="D10" s="66"/>
      <c r="E10" s="66"/>
      <c r="F10" s="67"/>
      <c r="G10" s="66"/>
      <c r="H10" s="66"/>
      <c r="I10" s="349">
        <v>1.0229999999999999</v>
      </c>
      <c r="J10" s="9"/>
      <c r="K10" s="9"/>
      <c r="L10" s="9"/>
      <c r="M10" s="9"/>
      <c r="N10" s="8" t="s">
        <v>8</v>
      </c>
      <c r="O10" s="207"/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0.84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303</v>
      </c>
      <c r="D11" s="62"/>
      <c r="E11" s="62"/>
      <c r="F11" s="63"/>
      <c r="G11" s="62"/>
      <c r="H11" s="62"/>
      <c r="I11" s="347">
        <v>0.42</v>
      </c>
      <c r="J11" s="9"/>
      <c r="K11" s="9"/>
      <c r="L11" s="9"/>
      <c r="M11" s="9"/>
      <c r="N11" s="8" t="s">
        <v>8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51">
        <v>0.84</v>
      </c>
      <c r="J12" s="9"/>
      <c r="K12" s="9"/>
      <c r="L12" s="9"/>
      <c r="M12" s="9"/>
      <c r="N12" s="8" t="s">
        <v>8</v>
      </c>
      <c r="P12" s="352" t="s">
        <v>305</v>
      </c>
      <c r="Q12" s="353"/>
      <c r="R12" s="353"/>
      <c r="S12" s="353"/>
      <c r="AB12" s="8" t="s">
        <v>8</v>
      </c>
    </row>
    <row r="13" spans="1:28" ht="15" customHeight="1" x14ac:dyDescent="0.25">
      <c r="A13" s="9"/>
      <c r="B13" s="9"/>
      <c r="C13" s="57" t="s">
        <v>306</v>
      </c>
      <c r="D13" s="58"/>
      <c r="E13" s="58"/>
      <c r="F13" s="59"/>
      <c r="G13" s="354">
        <v>12700</v>
      </c>
      <c r="H13" s="354">
        <v>14600</v>
      </c>
      <c r="I13" s="355">
        <v>18600</v>
      </c>
      <c r="J13" s="9"/>
      <c r="K13" s="9"/>
      <c r="L13" s="9"/>
      <c r="M13" s="9"/>
      <c r="N13" s="8" t="s">
        <v>8</v>
      </c>
      <c r="T13" s="207"/>
      <c r="AB13" s="8" t="s">
        <v>8</v>
      </c>
    </row>
    <row r="14" spans="1:28" ht="15" customHeight="1" x14ac:dyDescent="0.25">
      <c r="A14" s="9"/>
      <c r="B14" s="9"/>
      <c r="C14" s="356" t="s">
        <v>307</v>
      </c>
      <c r="D14" s="66"/>
      <c r="E14" s="66"/>
      <c r="F14" s="67"/>
      <c r="G14" s="357"/>
      <c r="H14" s="357"/>
      <c r="I14" s="358"/>
      <c r="J14" s="9"/>
      <c r="K14" s="9"/>
      <c r="L14" s="9"/>
      <c r="M14" s="9"/>
      <c r="N14" s="8" t="s">
        <v>8</v>
      </c>
      <c r="P14" s="359" t="s">
        <v>308</v>
      </c>
      <c r="R14" s="23" t="s">
        <v>10</v>
      </c>
      <c r="S14" s="360">
        <f>$I$11</f>
        <v>0.42</v>
      </c>
      <c r="T14" s="361" t="s">
        <v>309</v>
      </c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362"/>
      <c r="K15" s="9"/>
      <c r="L15" s="9"/>
      <c r="M15" s="9"/>
      <c r="N15" s="8" t="s">
        <v>8</v>
      </c>
      <c r="P15" s="23"/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0.03</v>
      </c>
      <c r="K16" s="9"/>
      <c r="L16" s="9"/>
      <c r="M16" s="9"/>
      <c r="N16" s="8" t="s">
        <v>8</v>
      </c>
      <c r="P16" s="359" t="s">
        <v>312</v>
      </c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0.02</v>
      </c>
      <c r="K17" s="9"/>
      <c r="L17" s="9"/>
      <c r="M17" s="9"/>
      <c r="N17" s="8" t="s">
        <v>8</v>
      </c>
      <c r="P17" s="23" t="s">
        <v>10</v>
      </c>
      <c r="Q17" s="359" t="s">
        <v>308</v>
      </c>
      <c r="S17" s="25" t="s">
        <v>19</v>
      </c>
      <c r="T17" s="359" t="s">
        <v>314</v>
      </c>
      <c r="AB17" s="8" t="s">
        <v>8</v>
      </c>
    </row>
    <row r="18" spans="1:28" ht="15" customHeight="1" x14ac:dyDescent="0.25">
      <c r="C18" s="364" t="s">
        <v>315</v>
      </c>
      <c r="D18" s="365"/>
      <c r="E18" s="365"/>
      <c r="F18" s="366"/>
      <c r="G18" s="354">
        <v>2540</v>
      </c>
      <c r="H18" s="354">
        <v>2336</v>
      </c>
      <c r="I18" s="367" t="s">
        <v>316</v>
      </c>
      <c r="K18" s="9"/>
      <c r="L18" s="9"/>
      <c r="M18" s="9"/>
      <c r="N18" s="8" t="s">
        <v>8</v>
      </c>
      <c r="P18" s="23" t="s">
        <v>10</v>
      </c>
      <c r="Q18" s="360">
        <f>I11</f>
        <v>0.42</v>
      </c>
      <c r="S18" s="25" t="s">
        <v>19</v>
      </c>
      <c r="T18" s="360">
        <f>I10</f>
        <v>1.0229999999999999</v>
      </c>
      <c r="U18" s="23" t="s">
        <v>194</v>
      </c>
      <c r="V18" s="360">
        <f>I9</f>
        <v>0.95199999999999996</v>
      </c>
      <c r="AB18" s="8" t="s">
        <v>8</v>
      </c>
    </row>
    <row r="19" spans="1:28" ht="15" customHeight="1" x14ac:dyDescent="0.25">
      <c r="K19" s="9"/>
      <c r="L19" s="9"/>
      <c r="M19" s="9"/>
      <c r="N19" s="8" t="s">
        <v>8</v>
      </c>
      <c r="P19" s="23" t="s">
        <v>10</v>
      </c>
      <c r="Q19" s="368">
        <f>Q18*T18/V18</f>
        <v>0.45132352941176468</v>
      </c>
      <c r="R19" s="361" t="s">
        <v>317</v>
      </c>
      <c r="AB19" s="8" t="s">
        <v>8</v>
      </c>
    </row>
    <row r="20" spans="1:28" ht="15" customHeight="1" x14ac:dyDescent="0.25">
      <c r="C20" s="132" t="s">
        <v>318</v>
      </c>
      <c r="D20" s="58"/>
      <c r="E20" s="58"/>
      <c r="F20" s="58"/>
      <c r="G20" s="58"/>
      <c r="H20" s="58"/>
      <c r="I20" s="118">
        <v>566</v>
      </c>
      <c r="J20" s="211"/>
      <c r="K20" s="16"/>
      <c r="L20" s="16"/>
      <c r="M20" s="16"/>
      <c r="N20" s="8" t="s">
        <v>8</v>
      </c>
      <c r="AB20" s="8" t="s">
        <v>8</v>
      </c>
    </row>
    <row r="21" spans="1:28" ht="15" customHeight="1" x14ac:dyDescent="0.35">
      <c r="C21" s="134" t="s">
        <v>319</v>
      </c>
      <c r="D21" s="66"/>
      <c r="E21" s="66"/>
      <c r="F21" s="66"/>
      <c r="G21" s="66"/>
      <c r="H21" s="66"/>
      <c r="I21" s="113">
        <v>146.64999999999998</v>
      </c>
      <c r="K21" s="9"/>
      <c r="L21" s="9"/>
      <c r="M21" s="9"/>
      <c r="N21" s="8" t="s">
        <v>8</v>
      </c>
      <c r="O21" s="359" t="s">
        <v>320</v>
      </c>
      <c r="P21" s="359"/>
      <c r="R21" s="57"/>
      <c r="S21" s="369" t="s">
        <v>321</v>
      </c>
      <c r="T21" s="370" t="s">
        <v>10</v>
      </c>
      <c r="U21" s="371" t="str">
        <f>"[ ( " &amp; ROUND(W9+1,4)</f>
        <v>[ ( 1.4357</v>
      </c>
      <c r="V21" s="372" t="s">
        <v>19</v>
      </c>
      <c r="W21" s="373" t="str">
        <f>ROUND(W10,3) &amp; " )"</f>
        <v>0.84 )</v>
      </c>
      <c r="X21" s="372" t="s">
        <v>195</v>
      </c>
      <c r="Y21" s="374" t="str">
        <f>1 &amp; " ]"</f>
        <v>1 ]</v>
      </c>
      <c r="Z21" s="372" t="s">
        <v>19</v>
      </c>
      <c r="AA21" s="375">
        <f>I13</f>
        <v>18600</v>
      </c>
      <c r="AB21" s="8" t="s">
        <v>8</v>
      </c>
    </row>
    <row r="22" spans="1:28" ht="15" customHeight="1" x14ac:dyDescent="0.35">
      <c r="A22" s="5"/>
      <c r="K22" s="9"/>
      <c r="L22" s="9"/>
      <c r="M22" s="9"/>
      <c r="N22" s="8" t="s">
        <v>8</v>
      </c>
      <c r="R22" s="38"/>
      <c r="S22" s="376" t="s">
        <v>290</v>
      </c>
      <c r="T22" s="377" t="s">
        <v>10</v>
      </c>
      <c r="U22" s="378">
        <f>((W9+1)*W10-1)*(I13+I14)</f>
        <v>3830.7794117647036</v>
      </c>
      <c r="V22" s="66"/>
      <c r="W22" s="66"/>
      <c r="X22" s="66"/>
      <c r="Y22" s="66"/>
      <c r="Z22" s="66"/>
      <c r="AA22" s="67"/>
      <c r="AB22" s="8" t="s">
        <v>8</v>
      </c>
    </row>
    <row r="23" spans="1:28" ht="15" customHeight="1" thickBot="1" x14ac:dyDescent="0.3">
      <c r="C23" s="5" t="s">
        <v>322</v>
      </c>
      <c r="K23" s="9"/>
      <c r="L23" s="9"/>
      <c r="M23" s="9"/>
      <c r="N23" s="8" t="s">
        <v>8</v>
      </c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8" t="s">
        <v>8</v>
      </c>
    </row>
    <row r="24" spans="1:28" ht="15" customHeight="1" x14ac:dyDescent="0.35">
      <c r="C24" s="379" t="s">
        <v>323</v>
      </c>
      <c r="D24" s="15" t="s">
        <v>276</v>
      </c>
      <c r="E24" s="15"/>
      <c r="F24" s="15"/>
      <c r="G24" s="15"/>
      <c r="H24" s="15"/>
      <c r="I24" s="15"/>
      <c r="J24" s="15"/>
      <c r="K24" s="20"/>
      <c r="L24" s="62"/>
      <c r="M24" s="62"/>
      <c r="N24" s="8" t="s">
        <v>8</v>
      </c>
      <c r="AB24" s="8" t="s">
        <v>8</v>
      </c>
    </row>
    <row r="25" spans="1:28" ht="15" customHeight="1" x14ac:dyDescent="0.35">
      <c r="N25" s="8" t="s">
        <v>8</v>
      </c>
      <c r="O25" s="6" t="s">
        <v>324</v>
      </c>
      <c r="T25" s="338"/>
      <c r="U25" s="342"/>
      <c r="V25" s="339" t="s">
        <v>325</v>
      </c>
      <c r="W25" s="343" t="s">
        <v>326</v>
      </c>
      <c r="X25" s="343" t="s">
        <v>327</v>
      </c>
      <c r="Y25" s="340" t="s">
        <v>195</v>
      </c>
      <c r="Z25" s="380" t="s">
        <v>328</v>
      </c>
      <c r="AB25" s="8" t="s">
        <v>8</v>
      </c>
    </row>
    <row r="26" spans="1:28" ht="15" customHeight="1" x14ac:dyDescent="0.35">
      <c r="A26" s="5" t="s">
        <v>9</v>
      </c>
      <c r="C26" s="139" t="s">
        <v>329</v>
      </c>
      <c r="K26" s="9"/>
      <c r="L26" s="9"/>
      <c r="M26" s="9"/>
      <c r="N26" s="8" t="s">
        <v>8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P27" s="381" t="s">
        <v>328</v>
      </c>
      <c r="Q27" s="23" t="s">
        <v>10</v>
      </c>
      <c r="R27" s="6" t="s">
        <v>327</v>
      </c>
      <c r="S27" s="25" t="s">
        <v>19</v>
      </c>
      <c r="T27" s="23" t="s">
        <v>330</v>
      </c>
      <c r="U27" s="25" t="s">
        <v>11</v>
      </c>
      <c r="V27" s="25" t="s">
        <v>331</v>
      </c>
      <c r="AB27" s="8" t="s">
        <v>8</v>
      </c>
    </row>
    <row r="28" spans="1:28" ht="15" customHeight="1" x14ac:dyDescent="0.25">
      <c r="A28" s="27" t="s">
        <v>332</v>
      </c>
      <c r="C28" s="24" t="s">
        <v>333</v>
      </c>
      <c r="K28" s="9"/>
      <c r="L28" s="9"/>
      <c r="M28" s="9"/>
      <c r="N28" s="8" t="s">
        <v>8</v>
      </c>
      <c r="Q28" s="23" t="s">
        <v>10</v>
      </c>
      <c r="R28" s="211">
        <f>U22</f>
        <v>3830.7794117647036</v>
      </c>
      <c r="S28" s="25" t="s">
        <v>19</v>
      </c>
      <c r="T28" s="382">
        <f>R33+R37</f>
        <v>1.2E-2</v>
      </c>
      <c r="W28" s="25"/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Q29" s="23" t="s">
        <v>10</v>
      </c>
      <c r="R29" s="383">
        <f>R28*T28</f>
        <v>45.969352941176446</v>
      </c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P31" s="25" t="s">
        <v>334</v>
      </c>
      <c r="Q31" s="23" t="s">
        <v>10</v>
      </c>
      <c r="R31" s="142">
        <v>0.3</v>
      </c>
      <c r="S31" s="25" t="s">
        <v>19</v>
      </c>
      <c r="T31" s="6" t="s">
        <v>335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P32" s="25"/>
      <c r="Q32" s="23" t="s">
        <v>10</v>
      </c>
      <c r="R32" s="142">
        <v>0.3</v>
      </c>
      <c r="S32" s="25" t="s">
        <v>19</v>
      </c>
      <c r="T32" s="384">
        <f>I16</f>
        <v>0.03</v>
      </c>
      <c r="V32" s="7"/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O33" s="7"/>
      <c r="P33" s="25"/>
      <c r="Q33" s="23" t="s">
        <v>10</v>
      </c>
      <c r="R33" s="385">
        <f>R32*T32</f>
        <v>8.9999999999999993E-3</v>
      </c>
      <c r="S33" s="25"/>
      <c r="V33" s="7"/>
      <c r="W33" s="7"/>
      <c r="X33" s="7"/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V34" s="7"/>
      <c r="W34" s="7"/>
      <c r="X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 t="s">
        <v>336</v>
      </c>
      <c r="Q35" s="23" t="s">
        <v>10</v>
      </c>
      <c r="R35" s="142">
        <v>0.15</v>
      </c>
      <c r="S35" s="25" t="s">
        <v>19</v>
      </c>
      <c r="T35" s="6" t="s">
        <v>337</v>
      </c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P36" s="7"/>
      <c r="Q36" s="23" t="s">
        <v>10</v>
      </c>
      <c r="R36" s="142">
        <v>0.15</v>
      </c>
      <c r="S36" s="25" t="s">
        <v>19</v>
      </c>
      <c r="T36" s="384">
        <f>I17</f>
        <v>0.02</v>
      </c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7"/>
      <c r="Q37" s="23" t="s">
        <v>10</v>
      </c>
      <c r="R37" s="385">
        <f>R36*T36</f>
        <v>3.0000000000000001E-3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 t="s">
        <v>338</v>
      </c>
      <c r="P39" s="7"/>
      <c r="Q39" s="7"/>
      <c r="R39" s="386"/>
      <c r="S39" s="387"/>
      <c r="T39" s="388" t="s">
        <v>339</v>
      </c>
      <c r="U39" s="389" t="s">
        <v>326</v>
      </c>
      <c r="V39" s="389" t="s">
        <v>327</v>
      </c>
      <c r="W39" s="390" t="s">
        <v>195</v>
      </c>
      <c r="X39" s="391" t="s">
        <v>328</v>
      </c>
      <c r="Y39" s="7"/>
      <c r="Z39" s="7"/>
      <c r="AA39" s="7"/>
      <c r="AB39" s="8" t="s">
        <v>8</v>
      </c>
    </row>
    <row r="40" spans="1:28" ht="15" customHeight="1" x14ac:dyDescent="0.35">
      <c r="N40" s="8" t="s">
        <v>8</v>
      </c>
      <c r="O40" s="7"/>
      <c r="P40" s="7"/>
      <c r="Q40" s="7"/>
      <c r="R40" s="392"/>
      <c r="S40" s="107"/>
      <c r="T40" s="393" t="s">
        <v>339</v>
      </c>
      <c r="U40" s="394" t="s">
        <v>326</v>
      </c>
      <c r="V40" s="395">
        <f>U22</f>
        <v>3830.7794117647036</v>
      </c>
      <c r="W40" s="265" t="s">
        <v>195</v>
      </c>
      <c r="X40" s="396">
        <f>R29</f>
        <v>45.969352941176446</v>
      </c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R41" s="397"/>
      <c r="S41" s="398"/>
      <c r="T41" s="376" t="s">
        <v>325</v>
      </c>
      <c r="U41" s="399" t="s">
        <v>326</v>
      </c>
      <c r="V41" s="378">
        <f>V40-X40</f>
        <v>3784.810058823527</v>
      </c>
      <c r="W41" s="114"/>
      <c r="X41" s="213"/>
      <c r="Y41" s="7"/>
      <c r="Z41" s="7"/>
      <c r="AA41" s="7"/>
      <c r="AB41" s="8" t="s">
        <v>8</v>
      </c>
    </row>
    <row r="42" spans="1:28" ht="15" customHeight="1" thickBot="1" x14ac:dyDescent="0.3">
      <c r="N42" s="8" t="s">
        <v>8</v>
      </c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8" t="s">
        <v>8</v>
      </c>
    </row>
    <row r="43" spans="1:28" ht="15" customHeight="1" x14ac:dyDescent="0.25">
      <c r="N43" s="8" t="s">
        <v>8</v>
      </c>
      <c r="AB43" s="8" t="s">
        <v>8</v>
      </c>
    </row>
    <row r="44" spans="1:28" ht="15" customHeight="1" x14ac:dyDescent="0.25">
      <c r="N44" s="8" t="s">
        <v>8</v>
      </c>
      <c r="O44" s="6" t="s">
        <v>340</v>
      </c>
      <c r="P44" s="7"/>
      <c r="Q44" s="7"/>
      <c r="R44" s="7"/>
      <c r="S44" s="7"/>
      <c r="T44" s="7"/>
      <c r="U44" s="7"/>
      <c r="V44" s="401" t="s">
        <v>341</v>
      </c>
      <c r="W44" s="339"/>
      <c r="X44" s="340"/>
      <c r="Y44" s="402"/>
      <c r="Z44" s="250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P46" s="403" t="s">
        <v>342</v>
      </c>
      <c r="Q46" s="23" t="s">
        <v>10</v>
      </c>
      <c r="R46" s="404">
        <v>0.7</v>
      </c>
      <c r="S46" s="8" t="s">
        <v>11</v>
      </c>
      <c r="T46" s="405">
        <v>0.3</v>
      </c>
      <c r="U46" s="8" t="s">
        <v>19</v>
      </c>
      <c r="V46" s="7" t="s">
        <v>343</v>
      </c>
      <c r="W46" s="7"/>
      <c r="X46" s="52" t="s">
        <v>194</v>
      </c>
      <c r="Y46" s="7" t="s">
        <v>344</v>
      </c>
      <c r="Z46" s="7"/>
      <c r="AA46" s="7"/>
      <c r="AB46" s="8" t="s">
        <v>8</v>
      </c>
    </row>
    <row r="47" spans="1:28" ht="15" customHeight="1" x14ac:dyDescent="0.25">
      <c r="N47" s="8" t="s">
        <v>8</v>
      </c>
      <c r="P47" s="7"/>
      <c r="Q47" s="23" t="s">
        <v>10</v>
      </c>
      <c r="R47" s="404">
        <v>0.7</v>
      </c>
      <c r="S47" s="8" t="s">
        <v>11</v>
      </c>
      <c r="T47" s="405">
        <v>0.3</v>
      </c>
      <c r="U47" s="8" t="s">
        <v>19</v>
      </c>
      <c r="V47" s="8">
        <f>MAX(G13:I13)</f>
        <v>18600</v>
      </c>
      <c r="W47" s="8"/>
      <c r="X47" s="52" t="s">
        <v>194</v>
      </c>
      <c r="Y47" s="8">
        <f>SUM(G13:I13)</f>
        <v>45900</v>
      </c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23" t="s">
        <v>10</v>
      </c>
      <c r="R48" s="406">
        <f>R47+T47*V47/Y47</f>
        <v>0.82156862745098036</v>
      </c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thickBot="1" x14ac:dyDescent="0.3">
      <c r="N49" s="8" t="s">
        <v>8</v>
      </c>
      <c r="O49" s="407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407"/>
      <c r="AB49" s="8" t="s">
        <v>8</v>
      </c>
    </row>
    <row r="50" spans="1:50" ht="15" customHeight="1" x14ac:dyDescent="0.25">
      <c r="N50" s="8" t="s">
        <v>8</v>
      </c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8" t="s">
        <v>8</v>
      </c>
    </row>
    <row r="51" spans="1:50" ht="15" customHeight="1" x14ac:dyDescent="0.35">
      <c r="N51" s="8" t="s">
        <v>8</v>
      </c>
      <c r="O51" s="7" t="s">
        <v>345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346</v>
      </c>
      <c r="R53" s="370" t="s">
        <v>10</v>
      </c>
      <c r="S53" s="411" t="s">
        <v>347</v>
      </c>
      <c r="T53" s="412"/>
      <c r="U53" s="412" t="s">
        <v>19</v>
      </c>
      <c r="V53" s="413" t="s">
        <v>342</v>
      </c>
      <c r="W53" s="220" t="s">
        <v>11</v>
      </c>
      <c r="X53" s="414" t="s">
        <v>348</v>
      </c>
      <c r="Y53" s="415" t="s">
        <v>11</v>
      </c>
      <c r="Z53" s="49" t="s">
        <v>349</v>
      </c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346</v>
      </c>
      <c r="R54" s="54" t="s">
        <v>10</v>
      </c>
      <c r="S54" s="107" t="str">
        <f>"( " &amp; G18 &amp; " + " &amp; H18 &amp; " + " &amp; ROUND(V41,1) &amp; " )"</f>
        <v>( 2540 + 2336 + 3784.8 )</v>
      </c>
      <c r="T54" s="107"/>
      <c r="U54" s="416" t="s">
        <v>19</v>
      </c>
      <c r="V54" s="417">
        <f>R48</f>
        <v>0.82156862745098036</v>
      </c>
      <c r="W54" s="25" t="s">
        <v>11</v>
      </c>
      <c r="X54" s="265">
        <f>I20</f>
        <v>566</v>
      </c>
      <c r="Y54" s="25" t="s">
        <v>11</v>
      </c>
      <c r="Z54" s="266">
        <f>0.5*I21</f>
        <v>73.324999999999989</v>
      </c>
      <c r="AA54" s="7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350</v>
      </c>
      <c r="R55" s="377" t="s">
        <v>10</v>
      </c>
      <c r="S55" s="398">
        <f>(G18+H18+V41)*V54+X54+Z54</f>
        <v>7754.7748326412893</v>
      </c>
      <c r="T55" s="419" t="s">
        <v>287</v>
      </c>
      <c r="U55" s="114"/>
      <c r="V55" s="114"/>
      <c r="W55" s="114"/>
      <c r="X55" s="114"/>
      <c r="Y55" s="114"/>
      <c r="Z55" s="213"/>
      <c r="AA55" s="7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5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</row>
    <row r="2" spans="1:28" ht="15" customHeight="1" x14ac:dyDescent="0.25">
      <c r="A2" s="5" t="s">
        <v>4</v>
      </c>
      <c r="C2" s="6" t="s">
        <v>351</v>
      </c>
      <c r="N2" s="25" t="s">
        <v>8</v>
      </c>
      <c r="AB2" s="25" t="s">
        <v>8</v>
      </c>
    </row>
    <row r="3" spans="1:28" ht="15" customHeight="1" x14ac:dyDescent="0.35">
      <c r="A3" s="5" t="s">
        <v>5</v>
      </c>
      <c r="C3" s="6" t="s">
        <v>352</v>
      </c>
      <c r="N3" s="25" t="s">
        <v>8</v>
      </c>
      <c r="O3" s="6" t="s">
        <v>353</v>
      </c>
      <c r="V3" s="33" t="s">
        <v>354</v>
      </c>
      <c r="Y3" s="420">
        <f>S55</f>
        <v>577647.18968672107</v>
      </c>
      <c r="Z3" s="33" t="s">
        <v>287</v>
      </c>
      <c r="AB3" s="25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 t="s">
        <v>355</v>
      </c>
      <c r="H6" s="220"/>
      <c r="I6" s="337"/>
      <c r="K6" s="9"/>
      <c r="L6" s="9"/>
      <c r="M6" s="9"/>
      <c r="N6" s="8" t="s">
        <v>8</v>
      </c>
      <c r="O6" s="6" t="s">
        <v>356</v>
      </c>
      <c r="R6" s="338"/>
      <c r="S6" s="339" t="s">
        <v>357</v>
      </c>
      <c r="T6" s="340" t="s">
        <v>10</v>
      </c>
      <c r="U6" s="341" t="s">
        <v>358</v>
      </c>
      <c r="V6" s="342"/>
      <c r="W6" s="343" t="s">
        <v>19</v>
      </c>
      <c r="X6" s="342" t="s">
        <v>359</v>
      </c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 t="s">
        <v>360</v>
      </c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361</v>
      </c>
      <c r="H8" s="40" t="s">
        <v>362</v>
      </c>
      <c r="I8" s="346" t="s">
        <v>363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364</v>
      </c>
      <c r="D9" s="62"/>
      <c r="E9" s="62"/>
      <c r="F9" s="63"/>
      <c r="G9" s="62"/>
      <c r="H9" s="62"/>
      <c r="I9" s="347">
        <v>0.98199999999999998</v>
      </c>
      <c r="J9" s="9"/>
      <c r="K9" s="9"/>
      <c r="L9" s="9"/>
      <c r="M9" s="9"/>
      <c r="N9" s="8" t="s">
        <v>8</v>
      </c>
      <c r="P9" s="25" t="s">
        <v>16</v>
      </c>
      <c r="Q9" s="23" t="s">
        <v>10</v>
      </c>
      <c r="R9" s="6" t="s">
        <v>365</v>
      </c>
      <c r="V9" s="23" t="s">
        <v>10</v>
      </c>
      <c r="W9" s="214">
        <f>0.5*S15+0.5*Q20</f>
        <v>1.0496181262729123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366</v>
      </c>
      <c r="D10" s="66"/>
      <c r="E10" s="66"/>
      <c r="F10" s="67"/>
      <c r="G10" s="66"/>
      <c r="H10" s="66"/>
      <c r="I10" s="349">
        <v>1.0429999999999999</v>
      </c>
      <c r="J10" s="9"/>
      <c r="K10" s="9"/>
      <c r="L10" s="9"/>
      <c r="M10" s="9"/>
      <c r="N10" s="8" t="s">
        <v>8</v>
      </c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0.81699999999999995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367</v>
      </c>
      <c r="D11" s="62"/>
      <c r="E11" s="62"/>
      <c r="F11" s="63"/>
      <c r="G11" s="62"/>
      <c r="H11" s="62"/>
      <c r="I11" s="347">
        <v>1.018</v>
      </c>
      <c r="J11" s="9"/>
      <c r="K11" s="9"/>
      <c r="L11" s="9"/>
      <c r="M11" s="9"/>
      <c r="N11" s="8" t="s">
        <v>8</v>
      </c>
      <c r="O11" s="207"/>
      <c r="P11" s="25" t="s">
        <v>368</v>
      </c>
      <c r="Q11" s="23" t="s">
        <v>10</v>
      </c>
      <c r="R11" s="6" t="s">
        <v>369</v>
      </c>
      <c r="V11" s="23" t="s">
        <v>10</v>
      </c>
      <c r="W11" s="421">
        <f>I14</f>
        <v>0.33500000000000002</v>
      </c>
      <c r="X11" s="207" t="s">
        <v>302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47">
        <v>0.81699999999999995</v>
      </c>
      <c r="J12" s="9"/>
      <c r="K12" s="9"/>
      <c r="L12" s="9"/>
      <c r="M12" s="9"/>
      <c r="N12" s="8" t="s">
        <v>8</v>
      </c>
      <c r="O12" s="207"/>
      <c r="AB12" s="8" t="s">
        <v>8</v>
      </c>
    </row>
    <row r="13" spans="1:28" ht="15" customHeight="1" x14ac:dyDescent="0.25">
      <c r="A13" s="9"/>
      <c r="B13" s="9"/>
      <c r="C13" s="181" t="s">
        <v>370</v>
      </c>
      <c r="D13" s="15"/>
      <c r="E13" s="15"/>
      <c r="F13" s="20"/>
      <c r="G13" s="354">
        <v>15000</v>
      </c>
      <c r="H13" s="354">
        <v>6900</v>
      </c>
      <c r="I13" s="355">
        <v>8200</v>
      </c>
      <c r="J13" s="9"/>
      <c r="K13" s="9"/>
      <c r="L13" s="9"/>
      <c r="M13" s="9"/>
      <c r="N13" s="8" t="s">
        <v>8</v>
      </c>
      <c r="O13" s="207"/>
      <c r="P13" s="352" t="s">
        <v>305</v>
      </c>
      <c r="Q13" s="353"/>
      <c r="R13" s="353"/>
      <c r="S13" s="353"/>
      <c r="AB13" s="8" t="s">
        <v>8</v>
      </c>
    </row>
    <row r="14" spans="1:28" ht="15" customHeight="1" x14ac:dyDescent="0.25">
      <c r="A14" s="9"/>
      <c r="B14" s="9"/>
      <c r="C14" s="61" t="s">
        <v>371</v>
      </c>
      <c r="D14" s="62"/>
      <c r="E14" s="62"/>
      <c r="F14" s="63"/>
      <c r="G14" s="62"/>
      <c r="H14" s="62"/>
      <c r="I14" s="422">
        <v>0.33500000000000002</v>
      </c>
      <c r="J14" s="9"/>
      <c r="K14" s="9"/>
      <c r="L14" s="9"/>
      <c r="M14" s="9"/>
      <c r="N14" s="8" t="s">
        <v>8</v>
      </c>
      <c r="T14" s="207"/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423"/>
      <c r="K15" s="9"/>
      <c r="L15" s="9"/>
      <c r="M15" s="9"/>
      <c r="N15" s="8" t="s">
        <v>8</v>
      </c>
      <c r="P15" s="359" t="s">
        <v>372</v>
      </c>
      <c r="R15" s="23" t="s">
        <v>10</v>
      </c>
      <c r="S15" s="360">
        <f>$I$11</f>
        <v>1.018</v>
      </c>
      <c r="T15" s="361" t="s">
        <v>309</v>
      </c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0.114</v>
      </c>
      <c r="K16" s="9"/>
      <c r="L16" s="9"/>
      <c r="M16" s="9"/>
      <c r="N16" s="8" t="s">
        <v>8</v>
      </c>
      <c r="P16" s="23"/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3.5000000000000003E-2</v>
      </c>
      <c r="K17" s="9"/>
      <c r="L17" s="9"/>
      <c r="M17" s="9"/>
      <c r="N17" s="8" t="s">
        <v>8</v>
      </c>
      <c r="P17" s="359" t="s">
        <v>373</v>
      </c>
      <c r="AB17" s="8" t="s">
        <v>8</v>
      </c>
    </row>
    <row r="18" spans="1:28" ht="15" customHeight="1" x14ac:dyDescent="0.25">
      <c r="C18" s="364" t="s">
        <v>374</v>
      </c>
      <c r="D18" s="365"/>
      <c r="E18" s="365"/>
      <c r="F18" s="366"/>
      <c r="G18" s="424">
        <v>570000</v>
      </c>
      <c r="H18" s="424">
        <v>84380</v>
      </c>
      <c r="I18" s="366"/>
      <c r="K18" s="9"/>
      <c r="L18" s="9"/>
      <c r="M18" s="9"/>
      <c r="N18" s="8" t="s">
        <v>8</v>
      </c>
      <c r="P18" s="23" t="s">
        <v>10</v>
      </c>
      <c r="Q18" s="359" t="s">
        <v>372</v>
      </c>
      <c r="S18" s="25" t="s">
        <v>19</v>
      </c>
      <c r="T18" s="359" t="s">
        <v>375</v>
      </c>
      <c r="AB18" s="8" t="s">
        <v>8</v>
      </c>
    </row>
    <row r="19" spans="1:28" ht="15" customHeight="1" x14ac:dyDescent="0.25">
      <c r="K19" s="9"/>
      <c r="L19" s="9"/>
      <c r="M19" s="9"/>
      <c r="N19" s="8" t="s">
        <v>8</v>
      </c>
      <c r="P19" s="23" t="s">
        <v>10</v>
      </c>
      <c r="Q19" s="360">
        <f>I11</f>
        <v>1.018</v>
      </c>
      <c r="S19" s="25" t="s">
        <v>19</v>
      </c>
      <c r="T19" s="360">
        <f>I10</f>
        <v>1.0429999999999999</v>
      </c>
      <c r="U19" s="23" t="s">
        <v>194</v>
      </c>
      <c r="V19" s="360">
        <f>I9</f>
        <v>0.98199999999999998</v>
      </c>
      <c r="AB19" s="8" t="s">
        <v>8</v>
      </c>
    </row>
    <row r="20" spans="1:28" ht="15" customHeight="1" x14ac:dyDescent="0.25">
      <c r="C20" s="139" t="s">
        <v>376</v>
      </c>
      <c r="I20" s="425">
        <v>20462</v>
      </c>
      <c r="J20" s="211"/>
      <c r="K20" s="16"/>
      <c r="L20" s="16"/>
      <c r="M20" s="16"/>
      <c r="N20" s="8" t="s">
        <v>8</v>
      </c>
      <c r="P20" s="23" t="s">
        <v>10</v>
      </c>
      <c r="Q20" s="368">
        <f>Q19*T19/V19</f>
        <v>1.0812362525458248</v>
      </c>
      <c r="R20" s="361" t="s">
        <v>317</v>
      </c>
      <c r="AB20" s="8" t="s">
        <v>8</v>
      </c>
    </row>
    <row r="21" spans="1:28" ht="15" customHeight="1" x14ac:dyDescent="0.25">
      <c r="K21" s="9"/>
      <c r="L21" s="9"/>
      <c r="M21" s="9"/>
      <c r="N21" s="8" t="s">
        <v>8</v>
      </c>
      <c r="AB21" s="8" t="s">
        <v>8</v>
      </c>
    </row>
    <row r="22" spans="1:28" ht="15" customHeight="1" x14ac:dyDescent="0.35">
      <c r="A22" s="5" t="s">
        <v>9</v>
      </c>
      <c r="C22" s="139" t="s">
        <v>377</v>
      </c>
      <c r="K22" s="9"/>
      <c r="L22" s="9"/>
      <c r="M22" s="9"/>
      <c r="N22" s="8" t="s">
        <v>8</v>
      </c>
      <c r="P22" s="57"/>
      <c r="Q22" s="369" t="s">
        <v>378</v>
      </c>
      <c r="R22" s="370" t="s">
        <v>10</v>
      </c>
      <c r="S22" s="414">
        <f>I13</f>
        <v>8200</v>
      </c>
      <c r="T22" s="220" t="s">
        <v>19</v>
      </c>
      <c r="U22" s="426" t="str">
        <f>"( "&amp;ROUND(W9,3)</f>
        <v>( 1.05</v>
      </c>
      <c r="V22" s="220" t="s">
        <v>19</v>
      </c>
      <c r="W22" s="427">
        <f>W10</f>
        <v>0.81699999999999995</v>
      </c>
      <c r="X22" s="220" t="s">
        <v>11</v>
      </c>
      <c r="Y22" s="428">
        <f>W11</f>
        <v>0.33500000000000002</v>
      </c>
      <c r="Z22" s="220" t="s">
        <v>195</v>
      </c>
      <c r="AA22" s="337" t="str">
        <f>"1"&amp;" )"</f>
        <v>1 )</v>
      </c>
      <c r="AB22" s="8" t="s">
        <v>8</v>
      </c>
    </row>
    <row r="23" spans="1:28" ht="15" customHeight="1" x14ac:dyDescent="0.35">
      <c r="K23" s="9"/>
      <c r="L23" s="9"/>
      <c r="M23" s="9"/>
      <c r="N23" s="8" t="s">
        <v>8</v>
      </c>
      <c r="P23" s="38"/>
      <c r="Q23" s="376" t="s">
        <v>357</v>
      </c>
      <c r="R23" s="377" t="s">
        <v>10</v>
      </c>
      <c r="S23" s="429">
        <f>MAX(0,S22*(W9*W10+W11-1))</f>
        <v>1578.8116751527484</v>
      </c>
      <c r="T23" s="66"/>
      <c r="U23" s="66"/>
      <c r="V23" s="66"/>
      <c r="W23" s="66"/>
      <c r="X23" s="66"/>
      <c r="Y23" s="66"/>
      <c r="Z23" s="66"/>
      <c r="AA23" s="67"/>
      <c r="AB23" s="8" t="s">
        <v>8</v>
      </c>
    </row>
    <row r="24" spans="1:28" ht="15" customHeight="1" thickBot="1" x14ac:dyDescent="0.3">
      <c r="K24" s="9"/>
      <c r="L24" s="9"/>
      <c r="M24" s="9"/>
      <c r="N24" s="8" t="s">
        <v>8</v>
      </c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8" t="s">
        <v>8</v>
      </c>
    </row>
    <row r="25" spans="1:28" ht="15" customHeight="1" x14ac:dyDescent="0.25">
      <c r="K25" s="9"/>
      <c r="L25" s="9"/>
      <c r="M25" s="9"/>
      <c r="N25" s="8" t="s">
        <v>8</v>
      </c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8" t="s">
        <v>8</v>
      </c>
    </row>
    <row r="26" spans="1:28" ht="15" customHeight="1" x14ac:dyDescent="0.35">
      <c r="K26" s="9"/>
      <c r="L26" s="9"/>
      <c r="M26" s="9"/>
      <c r="N26" s="8" t="s">
        <v>8</v>
      </c>
      <c r="O26" s="6" t="s">
        <v>379</v>
      </c>
      <c r="T26" s="338"/>
      <c r="U26" s="342"/>
      <c r="V26" s="339" t="s">
        <v>380</v>
      </c>
      <c r="W26" s="343" t="s">
        <v>326</v>
      </c>
      <c r="X26" s="343" t="s">
        <v>327</v>
      </c>
      <c r="Y26" s="340" t="s">
        <v>195</v>
      </c>
      <c r="Z26" s="380" t="s">
        <v>328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AB27" s="8" t="s">
        <v>8</v>
      </c>
    </row>
    <row r="28" spans="1:28" ht="15" customHeight="1" x14ac:dyDescent="0.25">
      <c r="K28" s="9"/>
      <c r="L28" s="9"/>
      <c r="M28" s="9"/>
      <c r="N28" s="8" t="s">
        <v>8</v>
      </c>
      <c r="P28" s="6" t="s">
        <v>295</v>
      </c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P29" s="381" t="s">
        <v>328</v>
      </c>
      <c r="Q29" s="23" t="s">
        <v>10</v>
      </c>
      <c r="R29" s="6" t="s">
        <v>327</v>
      </c>
      <c r="S29" s="25" t="s">
        <v>19</v>
      </c>
      <c r="T29" s="23" t="s">
        <v>330</v>
      </c>
      <c r="U29" s="25" t="s">
        <v>11</v>
      </c>
      <c r="V29" s="25" t="s">
        <v>331</v>
      </c>
      <c r="W29" s="25"/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Q30" s="23" t="s">
        <v>10</v>
      </c>
      <c r="R30" s="7">
        <f>S23</f>
        <v>1578.8116751527484</v>
      </c>
      <c r="S30" s="25" t="s">
        <v>19</v>
      </c>
      <c r="T30" s="382">
        <f>R35+R39</f>
        <v>3.9449999999999999E-2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Q31" s="23" t="s">
        <v>10</v>
      </c>
      <c r="R31" s="383">
        <f>R30*T30</f>
        <v>62.284120584775927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P33" s="25" t="s">
        <v>334</v>
      </c>
      <c r="Q33" s="23" t="s">
        <v>10</v>
      </c>
      <c r="R33" s="142">
        <v>0.3</v>
      </c>
      <c r="S33" s="25" t="s">
        <v>19</v>
      </c>
      <c r="T33" s="6" t="s">
        <v>335</v>
      </c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P34" s="25"/>
      <c r="Q34" s="23" t="s">
        <v>10</v>
      </c>
      <c r="R34" s="142">
        <v>0.3</v>
      </c>
      <c r="S34" s="25" t="s">
        <v>19</v>
      </c>
      <c r="T34" s="384">
        <f>I16</f>
        <v>0.114</v>
      </c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/>
      <c r="Q35" s="23" t="s">
        <v>10</v>
      </c>
      <c r="R35" s="385">
        <f>R34*T34</f>
        <v>3.4200000000000001E-2</v>
      </c>
      <c r="S35" s="25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25" t="s">
        <v>336</v>
      </c>
      <c r="Q37" s="23" t="s">
        <v>10</v>
      </c>
      <c r="R37" s="142">
        <v>0.15</v>
      </c>
      <c r="S37" s="25" t="s">
        <v>19</v>
      </c>
      <c r="T37" s="6" t="s">
        <v>337</v>
      </c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P38" s="7"/>
      <c r="Q38" s="23" t="s">
        <v>10</v>
      </c>
      <c r="R38" s="142">
        <v>0.15</v>
      </c>
      <c r="S38" s="25" t="s">
        <v>19</v>
      </c>
      <c r="T38" s="384">
        <f>I17</f>
        <v>3.5000000000000003E-2</v>
      </c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/>
      <c r="P39" s="7"/>
      <c r="Q39" s="23" t="s">
        <v>10</v>
      </c>
      <c r="R39" s="385">
        <f>R38*T38</f>
        <v>5.2500000000000003E-3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P41" s="386"/>
      <c r="Q41" s="387"/>
      <c r="R41" s="388" t="s">
        <v>381</v>
      </c>
      <c r="S41" s="389" t="s">
        <v>326</v>
      </c>
      <c r="T41" s="389" t="s">
        <v>327</v>
      </c>
      <c r="U41" s="390" t="s">
        <v>195</v>
      </c>
      <c r="V41" s="391" t="s">
        <v>328</v>
      </c>
      <c r="Y41" s="7"/>
      <c r="Z41" s="7"/>
      <c r="AA41" s="7"/>
      <c r="AB41" s="8" t="s">
        <v>8</v>
      </c>
    </row>
    <row r="42" spans="1:28" ht="15" customHeight="1" x14ac:dyDescent="0.35">
      <c r="N42" s="8" t="s">
        <v>8</v>
      </c>
      <c r="P42" s="392"/>
      <c r="Q42" s="107"/>
      <c r="R42" s="393" t="s">
        <v>381</v>
      </c>
      <c r="S42" s="394" t="s">
        <v>326</v>
      </c>
      <c r="T42" s="395">
        <f>S23</f>
        <v>1578.8116751527484</v>
      </c>
      <c r="U42" s="265" t="s">
        <v>195</v>
      </c>
      <c r="V42" s="430">
        <f>R31</f>
        <v>62.284120584775927</v>
      </c>
      <c r="Y42" s="7"/>
      <c r="Z42" s="7"/>
      <c r="AA42" s="7"/>
      <c r="AB42" s="8" t="s">
        <v>8</v>
      </c>
    </row>
    <row r="43" spans="1:28" ht="15" customHeight="1" x14ac:dyDescent="0.35">
      <c r="N43" s="8" t="s">
        <v>8</v>
      </c>
      <c r="P43" s="397"/>
      <c r="Q43" s="398"/>
      <c r="R43" s="376" t="s">
        <v>380</v>
      </c>
      <c r="S43" s="399" t="s">
        <v>326</v>
      </c>
      <c r="T43" s="378">
        <f>T42-V42</f>
        <v>1516.5275545679724</v>
      </c>
      <c r="U43" s="114"/>
      <c r="V43" s="213"/>
      <c r="Y43" s="7"/>
      <c r="Z43" s="7"/>
      <c r="AA43" s="7"/>
      <c r="AB43" s="8" t="s">
        <v>8</v>
      </c>
    </row>
    <row r="44" spans="1:28" ht="15" customHeight="1" thickBot="1" x14ac:dyDescent="0.3">
      <c r="N44" s="8" t="s">
        <v>8</v>
      </c>
      <c r="O44" s="334"/>
      <c r="P44" s="334"/>
      <c r="Q44" s="334"/>
      <c r="R44" s="334"/>
      <c r="S44" s="334"/>
      <c r="T44" s="334"/>
      <c r="U44" s="334"/>
      <c r="V44" s="407"/>
      <c r="W44" s="407"/>
      <c r="X44" s="407"/>
      <c r="Y44" s="407"/>
      <c r="Z44" s="407"/>
      <c r="AA44" s="407"/>
      <c r="AB44" s="8" t="s">
        <v>8</v>
      </c>
    </row>
    <row r="45" spans="1:28" ht="15" customHeight="1" x14ac:dyDescent="0.25">
      <c r="N45" s="8" t="s">
        <v>8</v>
      </c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6" t="s">
        <v>382</v>
      </c>
      <c r="P46" s="7"/>
      <c r="Q46" s="7"/>
      <c r="R46" s="7"/>
      <c r="S46" s="7"/>
      <c r="T46" s="7"/>
      <c r="U46" s="7"/>
      <c r="V46" s="401" t="s">
        <v>383</v>
      </c>
      <c r="W46" s="339"/>
      <c r="X46" s="340"/>
      <c r="Y46" s="402"/>
      <c r="Z46" s="250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431" t="s">
        <v>384</v>
      </c>
      <c r="Q48" s="23" t="s">
        <v>10</v>
      </c>
      <c r="R48" s="404">
        <v>0.7</v>
      </c>
      <c r="S48" s="8" t="s">
        <v>11</v>
      </c>
      <c r="T48" s="405">
        <v>0.3</v>
      </c>
      <c r="U48" s="8" t="s">
        <v>19</v>
      </c>
      <c r="V48" s="7" t="s">
        <v>385</v>
      </c>
      <c r="W48" s="7"/>
      <c r="X48" s="52" t="s">
        <v>194</v>
      </c>
      <c r="Y48" s="7" t="s">
        <v>386</v>
      </c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/>
      <c r="Q49" s="23" t="s">
        <v>10</v>
      </c>
      <c r="R49" s="404">
        <v>0.7</v>
      </c>
      <c r="S49" s="8" t="s">
        <v>11</v>
      </c>
      <c r="T49" s="405">
        <v>0.3</v>
      </c>
      <c r="U49" s="8" t="s">
        <v>19</v>
      </c>
      <c r="V49" s="8">
        <f>MAX(G13:I13)</f>
        <v>15000</v>
      </c>
      <c r="W49" s="8"/>
      <c r="X49" s="52" t="s">
        <v>194</v>
      </c>
      <c r="Y49" s="8">
        <f>SUM(G13:I13)</f>
        <v>30100</v>
      </c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/>
      <c r="Q50" s="23" t="s">
        <v>10</v>
      </c>
      <c r="R50" s="406">
        <f>R49+T49*V49/Y49</f>
        <v>0.84950166112956804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thickBot="1" x14ac:dyDescent="0.3">
      <c r="N51" s="8" t="s">
        <v>8</v>
      </c>
      <c r="O51" s="407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407"/>
      <c r="AA51" s="407"/>
      <c r="AB51" s="8" t="s">
        <v>8</v>
      </c>
    </row>
    <row r="52" spans="1:50" ht="15" customHeight="1" x14ac:dyDescent="0.25">
      <c r="N52" s="8" t="s">
        <v>8</v>
      </c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387</v>
      </c>
      <c r="R53" s="370" t="s">
        <v>10</v>
      </c>
      <c r="S53" s="411" t="s">
        <v>388</v>
      </c>
      <c r="T53" s="412"/>
      <c r="U53" s="414"/>
      <c r="V53" s="412" t="s">
        <v>19</v>
      </c>
      <c r="W53" s="432" t="s">
        <v>384</v>
      </c>
      <c r="X53" s="414" t="s">
        <v>11</v>
      </c>
      <c r="Y53" s="433" t="s">
        <v>389</v>
      </c>
      <c r="Z53" s="76"/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387</v>
      </c>
      <c r="R54" s="54" t="s">
        <v>10</v>
      </c>
      <c r="S54" s="107" t="str">
        <f>"( " &amp; G18 &amp; " + " &amp; H18 &amp; " + " &amp; ROUND(T43,1) &amp; " )"</f>
        <v>( 570000 + 84380 + 1516.5 )</v>
      </c>
      <c r="T54" s="107"/>
      <c r="U54" s="107"/>
      <c r="V54" s="416" t="s">
        <v>19</v>
      </c>
      <c r="W54" s="417">
        <f>R50</f>
        <v>0.84950166112956804</v>
      </c>
      <c r="X54" s="265" t="s">
        <v>11</v>
      </c>
      <c r="Y54" s="107">
        <f>I20</f>
        <v>20462</v>
      </c>
      <c r="Z54" s="206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390</v>
      </c>
      <c r="R55" s="377" t="s">
        <v>10</v>
      </c>
      <c r="S55" s="398">
        <f>(G18+H18+T43)*W54+Y54</f>
        <v>577647.18968672107</v>
      </c>
      <c r="T55" s="419" t="s">
        <v>287</v>
      </c>
      <c r="U55" s="114"/>
      <c r="V55" s="114"/>
      <c r="W55" s="114"/>
      <c r="X55" s="114"/>
      <c r="Y55" s="114"/>
      <c r="Z55" s="213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E1" s="24"/>
      <c r="M1" s="14" t="s">
        <v>7</v>
      </c>
      <c r="N1" s="25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391</v>
      </c>
      <c r="N2" s="25" t="s">
        <v>8</v>
      </c>
      <c r="Z2" s="7"/>
      <c r="AA2" s="7"/>
      <c r="AB2" s="8" t="s">
        <v>8</v>
      </c>
    </row>
    <row r="3" spans="1:28" ht="15" customHeight="1" x14ac:dyDescent="0.35">
      <c r="A3" s="5" t="s">
        <v>5</v>
      </c>
      <c r="C3" s="6" t="s">
        <v>392</v>
      </c>
      <c r="N3" s="25" t="s">
        <v>8</v>
      </c>
      <c r="O3" s="381" t="s">
        <v>393</v>
      </c>
      <c r="P3" s="6" t="s">
        <v>394</v>
      </c>
      <c r="Z3" s="7"/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Z4" s="7"/>
      <c r="AA4" s="7"/>
      <c r="AB4" s="8" t="s">
        <v>8</v>
      </c>
    </row>
    <row r="5" spans="1:28" ht="15" customHeight="1" x14ac:dyDescent="0.25">
      <c r="A5" s="19" t="s">
        <v>9</v>
      </c>
      <c r="C5" s="7" t="s">
        <v>395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34" t="s">
        <v>396</v>
      </c>
      <c r="Q5" s="8" t="s">
        <v>10</v>
      </c>
      <c r="R5" s="7" t="s">
        <v>397</v>
      </c>
      <c r="S5" s="7"/>
      <c r="T5" s="7"/>
      <c r="U5" s="8" t="s">
        <v>11</v>
      </c>
      <c r="V5" s="7" t="s">
        <v>398</v>
      </c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8">
        <f>F12</f>
        <v>87000</v>
      </c>
      <c r="S6" s="8" t="s">
        <v>19</v>
      </c>
      <c r="T6" s="8">
        <v>1</v>
      </c>
      <c r="U6" s="8" t="s">
        <v>11</v>
      </c>
      <c r="V6" s="8">
        <f>E12-F12</f>
        <v>63000</v>
      </c>
      <c r="W6" s="8" t="s">
        <v>19</v>
      </c>
      <c r="X6" s="283">
        <v>4.8000000000000001E-2</v>
      </c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435" t="s">
        <v>399</v>
      </c>
      <c r="D7" s="436"/>
      <c r="E7" s="436"/>
      <c r="F7" s="437"/>
      <c r="G7" s="355">
        <v>85000</v>
      </c>
      <c r="H7" s="7"/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8">
        <f>R6*T6+V6*X6</f>
        <v>90024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9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409"/>
      <c r="D9" s="76"/>
      <c r="E9" s="438" t="s">
        <v>400</v>
      </c>
      <c r="F9" s="42"/>
      <c r="G9"/>
      <c r="H9" s="7"/>
      <c r="I9" s="7"/>
      <c r="J9" s="7"/>
      <c r="K9" s="7"/>
      <c r="L9" s="7"/>
      <c r="M9" s="9"/>
      <c r="N9" s="8" t="s">
        <v>8</v>
      </c>
      <c r="O9" s="271" t="s">
        <v>401</v>
      </c>
      <c r="P9" s="7" t="s">
        <v>402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5"/>
      <c r="B10" s="9"/>
      <c r="C10" s="242" t="s">
        <v>396</v>
      </c>
      <c r="D10" s="213"/>
      <c r="E10" s="48" t="s">
        <v>403</v>
      </c>
      <c r="F10" s="47" t="s">
        <v>15</v>
      </c>
      <c r="G10" s="8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35">
      <c r="A11" s="9"/>
      <c r="B11" s="9"/>
      <c r="C11" s="392" t="s">
        <v>404</v>
      </c>
      <c r="D11" s="206"/>
      <c r="E11" s="172">
        <v>127000</v>
      </c>
      <c r="F11" s="106">
        <v>73660</v>
      </c>
      <c r="G11" s="7"/>
      <c r="H11" s="439"/>
      <c r="I11" s="16"/>
      <c r="J11" s="16"/>
      <c r="K11" s="7"/>
      <c r="L11" s="7"/>
      <c r="M11" s="9"/>
      <c r="N11" s="8" t="s">
        <v>8</v>
      </c>
      <c r="O11" s="7"/>
      <c r="P11" s="8" t="s">
        <v>405</v>
      </c>
      <c r="Q11" s="8" t="s">
        <v>10</v>
      </c>
      <c r="R11" s="440" t="s">
        <v>406</v>
      </c>
      <c r="S11" s="7"/>
      <c r="T11" s="8" t="s">
        <v>11</v>
      </c>
      <c r="U11" s="440" t="s">
        <v>407</v>
      </c>
      <c r="V11" s="7"/>
      <c r="W11" s="440" t="s">
        <v>408</v>
      </c>
      <c r="X11" s="7"/>
      <c r="Y11" s="7"/>
      <c r="Z11" s="7"/>
      <c r="AA11" s="7"/>
      <c r="AB11" s="8" t="s">
        <v>8</v>
      </c>
    </row>
    <row r="12" spans="1:28" ht="15" customHeight="1" x14ac:dyDescent="0.25">
      <c r="A12" s="19"/>
      <c r="B12" s="9"/>
      <c r="C12" s="392" t="s">
        <v>409</v>
      </c>
      <c r="D12" s="206"/>
      <c r="E12" s="172">
        <v>150000</v>
      </c>
      <c r="F12" s="106">
        <v>87000</v>
      </c>
      <c r="G12" s="7"/>
      <c r="H12" s="439"/>
      <c r="I12" s="16"/>
      <c r="J12" s="16"/>
      <c r="K12" s="7"/>
      <c r="L12" s="7"/>
      <c r="M12" s="9"/>
      <c r="N12" s="8" t="s">
        <v>8</v>
      </c>
      <c r="O12" s="7"/>
      <c r="P12" s="7"/>
      <c r="Q12" s="8" t="s">
        <v>10</v>
      </c>
      <c r="R12" s="7" t="str">
        <f>"[ (" &amp; G7 &amp; ") ^ 2"</f>
        <v>[ (85000) ^ 2</v>
      </c>
      <c r="S12" s="7"/>
      <c r="T12" s="8" t="s">
        <v>11</v>
      </c>
      <c r="U12" s="7" t="str">
        <f>"(" &amp; R7 &amp; ") ^ 2 ] ^ 0.5"</f>
        <v>(90024) ^ 2 ] ^ 0.5</v>
      </c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392" t="s">
        <v>410</v>
      </c>
      <c r="D13" s="206"/>
      <c r="E13" s="172">
        <v>182000</v>
      </c>
      <c r="F13" s="106">
        <v>105560</v>
      </c>
      <c r="G13" s="7"/>
      <c r="H13" s="439"/>
      <c r="I13" s="16"/>
      <c r="J13" s="16"/>
      <c r="K13" s="7"/>
      <c r="L13" s="7"/>
      <c r="M13" s="9"/>
      <c r="N13" s="8" t="s">
        <v>8</v>
      </c>
      <c r="O13" s="7"/>
      <c r="P13" s="7"/>
      <c r="Q13" s="8" t="s">
        <v>10</v>
      </c>
      <c r="R13" s="271">
        <f>(G7^2+R7^2)^0.5</f>
        <v>123811.63344371159</v>
      </c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242" t="s">
        <v>411</v>
      </c>
      <c r="D14" s="213"/>
      <c r="E14" s="177">
        <v>258000</v>
      </c>
      <c r="F14" s="113">
        <v>149640</v>
      </c>
      <c r="G14" s="7"/>
      <c r="H14" s="439"/>
      <c r="I14" s="16"/>
      <c r="J14" s="16"/>
      <c r="K14" s="7"/>
      <c r="L14" s="7"/>
      <c r="M14" s="9"/>
      <c r="N14" s="8" t="s">
        <v>8</v>
      </c>
      <c r="O14" s="7"/>
      <c r="P14" s="7"/>
      <c r="Q14" s="7"/>
      <c r="R14" s="244" t="s">
        <v>412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B15" s="8" t="s">
        <v>8</v>
      </c>
    </row>
    <row r="16" spans="1:28" ht="15" customHeight="1" x14ac:dyDescent="0.25">
      <c r="C16" s="39" t="s">
        <v>413</v>
      </c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B16" s="8" t="s">
        <v>8</v>
      </c>
    </row>
    <row r="17" spans="3:28" ht="15" customHeight="1" x14ac:dyDescent="0.25">
      <c r="C17" s="39" t="s">
        <v>414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B19" s="8" t="s">
        <v>8</v>
      </c>
    </row>
    <row r="20" spans="3:28" ht="15" customHeight="1" x14ac:dyDescent="0.25">
      <c r="N20" s="8" t="s">
        <v>8</v>
      </c>
      <c r="AB20" s="8" t="s">
        <v>8</v>
      </c>
    </row>
    <row r="21" spans="3:28" ht="15" customHeight="1" x14ac:dyDescent="0.25">
      <c r="N21" s="8" t="s">
        <v>8</v>
      </c>
      <c r="AB21" s="8" t="s">
        <v>8</v>
      </c>
    </row>
    <row r="22" spans="3:28" ht="15" customHeight="1" x14ac:dyDescent="0.25">
      <c r="N22" s="8" t="s">
        <v>8</v>
      </c>
      <c r="AB22" s="8" t="s">
        <v>8</v>
      </c>
    </row>
    <row r="23" spans="3:28" ht="15" customHeight="1" x14ac:dyDescent="0.25">
      <c r="N23" s="8" t="s">
        <v>8</v>
      </c>
      <c r="AB23" s="8" t="s">
        <v>8</v>
      </c>
    </row>
    <row r="24" spans="3:28" ht="15" customHeight="1" x14ac:dyDescent="0.25">
      <c r="N24" s="8" t="s">
        <v>8</v>
      </c>
      <c r="AB24" s="8" t="s">
        <v>8</v>
      </c>
    </row>
    <row r="25" spans="3:28" ht="15" customHeight="1" x14ac:dyDescent="0.25">
      <c r="N25" s="8" t="s">
        <v>8</v>
      </c>
      <c r="AB25" s="8" t="s">
        <v>8</v>
      </c>
    </row>
    <row r="26" spans="3:28" ht="15" customHeight="1" x14ac:dyDescent="0.25">
      <c r="N26" s="8" t="s">
        <v>8</v>
      </c>
      <c r="AB26" s="8" t="s">
        <v>8</v>
      </c>
    </row>
    <row r="27" spans="3:28" ht="15" customHeight="1" x14ac:dyDescent="0.25">
      <c r="N27" s="8" t="s">
        <v>8</v>
      </c>
      <c r="AB27" s="8" t="s">
        <v>8</v>
      </c>
    </row>
    <row r="28" spans="3:28" ht="15" customHeight="1" x14ac:dyDescent="0.25">
      <c r="N28" s="8" t="s">
        <v>8</v>
      </c>
      <c r="AB28" s="8" t="s">
        <v>8</v>
      </c>
    </row>
    <row r="29" spans="3:28" ht="15" customHeight="1" x14ac:dyDescent="0.25">
      <c r="N29" s="8" t="s">
        <v>8</v>
      </c>
      <c r="AB29" s="8" t="s">
        <v>8</v>
      </c>
    </row>
    <row r="30" spans="3:28" ht="15" customHeight="1" x14ac:dyDescent="0.25">
      <c r="N30" s="8" t="s">
        <v>8</v>
      </c>
      <c r="AB30" s="8" t="s">
        <v>8</v>
      </c>
    </row>
    <row r="31" spans="3:28" ht="15" customHeight="1" x14ac:dyDescent="0.25">
      <c r="N31" s="8" t="s">
        <v>8</v>
      </c>
      <c r="AB31" s="8" t="s">
        <v>8</v>
      </c>
    </row>
    <row r="32" spans="3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:50" ht="15" customHeight="1" x14ac:dyDescent="0.25">
      <c r="N49" s="8" t="s">
        <v>8</v>
      </c>
      <c r="AB49" s="8" t="s">
        <v>8</v>
      </c>
    </row>
    <row r="50" spans="1:50" ht="15" customHeight="1" x14ac:dyDescent="0.25">
      <c r="N50" s="8" t="s">
        <v>8</v>
      </c>
      <c r="AB50" s="8" t="s">
        <v>8</v>
      </c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RBC Ratio</vt:lpstr>
      <vt:lpstr>RBC Charges</vt:lpstr>
      <vt:lpstr>R1</vt:lpstr>
      <vt:lpstr>R2</vt:lpstr>
      <vt:lpstr>R3</vt:lpstr>
      <vt:lpstr>R4</vt:lpstr>
      <vt:lpstr>R5</vt:lpstr>
      <vt:lpstr>Rcat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2021-09-03T14:34:59Z</dcterms:modified>
</cp:coreProperties>
</file>