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IRIS-1" sheetId="7" r:id="rId2"/>
    <sheet name="IRIS-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5" l="1"/>
  <c r="U11" i="7"/>
  <c r="AA11" i="7" l="1"/>
  <c r="V11" i="7"/>
  <c r="V11" i="5"/>
  <c r="AA11" i="5" s="1"/>
  <c r="T11" i="5"/>
  <c r="W24" i="5" l="1"/>
  <c r="W23" i="5"/>
  <c r="T23" i="5"/>
  <c r="T22" i="5"/>
  <c r="T21" i="5" s="1"/>
  <c r="P21" i="5" s="1"/>
  <c r="Q21" i="5" s="1"/>
  <c r="P20" i="5"/>
  <c r="Q20" i="5" s="1"/>
  <c r="P19" i="5"/>
  <c r="Q19" i="5" s="1"/>
  <c r="Z4" i="5" s="1"/>
  <c r="P17" i="5"/>
  <c r="Q17" i="5" s="1"/>
  <c r="Q16" i="5"/>
  <c r="P16" i="5"/>
  <c r="P14" i="5"/>
  <c r="Q14" i="5" s="1"/>
  <c r="T13" i="5"/>
  <c r="P13" i="5"/>
  <c r="Q13" i="5" s="1"/>
  <c r="T12" i="5"/>
  <c r="P12" i="5"/>
  <c r="Q12" i="5" s="1"/>
  <c r="P11" i="5"/>
  <c r="Q11" i="5" s="1"/>
  <c r="T9" i="5"/>
  <c r="P9" i="5" s="1"/>
  <c r="Q9" i="5" s="1"/>
  <c r="P8" i="5"/>
  <c r="Q8" i="5" s="1"/>
  <c r="P7" i="5"/>
  <c r="Q7" i="5" s="1"/>
  <c r="Q6" i="5"/>
  <c r="P6" i="5"/>
  <c r="W24" i="7"/>
  <c r="W23" i="7"/>
  <c r="T23" i="7"/>
  <c r="T22" i="7"/>
  <c r="T21" i="7" s="1"/>
  <c r="P21" i="7" s="1"/>
  <c r="Q21" i="7" s="1"/>
  <c r="Q20" i="7"/>
  <c r="P20" i="7"/>
  <c r="P19" i="7"/>
  <c r="Q19" i="7" s="1"/>
  <c r="Z4" i="7" s="1"/>
  <c r="P17" i="7"/>
  <c r="Q17" i="7" s="1"/>
  <c r="Q16" i="7"/>
  <c r="P16" i="7"/>
  <c r="P14" i="7"/>
  <c r="Q14" i="7" s="1"/>
  <c r="T13" i="7"/>
  <c r="P13" i="7"/>
  <c r="Q13" i="7" s="1"/>
  <c r="T12" i="7"/>
  <c r="Q12" i="7"/>
  <c r="P12" i="7"/>
  <c r="T11" i="7"/>
  <c r="P11" i="7" s="1"/>
  <c r="Q11" i="7" s="1"/>
  <c r="T9" i="7"/>
  <c r="P9" i="7" s="1"/>
  <c r="Q9" i="7" s="1"/>
  <c r="P8" i="7"/>
  <c r="Q8" i="7" s="1"/>
  <c r="Q7" i="7"/>
  <c r="P7" i="7"/>
  <c r="Q6" i="7"/>
  <c r="P6" i="7"/>
  <c r="Y21" i="5" l="1"/>
  <c r="Y17" i="5"/>
  <c r="Y6" i="5"/>
  <c r="X4" i="5"/>
  <c r="Y13" i="5"/>
  <c r="Y7" i="5"/>
  <c r="Y21" i="7"/>
  <c r="Y17" i="7"/>
  <c r="Y13" i="7"/>
  <c r="Y6" i="7"/>
  <c r="X4" i="7"/>
  <c r="Y7" i="7"/>
  <c r="J32" i="5" l="1"/>
  <c r="I32" i="5"/>
  <c r="J31" i="5"/>
  <c r="AE30" i="5"/>
  <c r="J30" i="5"/>
  <c r="J28" i="5"/>
  <c r="I28" i="5"/>
  <c r="H27" i="5"/>
  <c r="J26" i="5"/>
  <c r="I26" i="5"/>
  <c r="J25" i="5"/>
  <c r="I25" i="5"/>
  <c r="J23" i="5"/>
  <c r="I23" i="5"/>
  <c r="J22" i="5"/>
  <c r="I22" i="5"/>
  <c r="AE12" i="5"/>
  <c r="H6" i="5"/>
  <c r="I18" i="5" l="1"/>
  <c r="I6" i="5"/>
  <c r="H22" i="5"/>
  <c r="H7" i="5"/>
  <c r="H23" i="5"/>
  <c r="I12" i="5"/>
  <c r="I11" i="5" l="1"/>
  <c r="I14" i="5"/>
  <c r="I13" i="5"/>
  <c r="I10" i="5"/>
  <c r="I15" i="5"/>
  <c r="H28" i="5"/>
  <c r="H19" i="5"/>
  <c r="H8" i="5"/>
  <c r="H18" i="5"/>
  <c r="H9" i="5"/>
  <c r="H29" i="5"/>
  <c r="H30" i="5"/>
  <c r="J6" i="5"/>
  <c r="J18" i="5"/>
  <c r="H15" i="5"/>
  <c r="H10" i="5"/>
  <c r="H12" i="5"/>
  <c r="H11" i="5"/>
  <c r="H14" i="5"/>
  <c r="H13" i="5"/>
  <c r="H25" i="5"/>
  <c r="H16" i="5"/>
  <c r="I7" i="5"/>
  <c r="I19" i="5"/>
  <c r="J11" i="5" l="1"/>
  <c r="H31" i="5"/>
  <c r="I29" i="5"/>
  <c r="J10" i="5"/>
  <c r="J15" i="5"/>
  <c r="H21" i="5"/>
  <c r="I27" i="5"/>
  <c r="H26" i="5"/>
  <c r="J19" i="5"/>
  <c r="J7" i="5"/>
  <c r="J29" i="5"/>
  <c r="J9" i="5"/>
  <c r="I9" i="5"/>
  <c r="J8" i="5"/>
  <c r="I8" i="5"/>
  <c r="I20" i="5"/>
  <c r="I17" i="5"/>
  <c r="I24" i="5"/>
  <c r="I21" i="5"/>
  <c r="I16" i="5"/>
  <c r="H17" i="5"/>
  <c r="J12" i="5"/>
  <c r="J16" i="5" l="1"/>
  <c r="J27" i="5"/>
  <c r="H24" i="5"/>
  <c r="J20" i="5"/>
  <c r="J17" i="5"/>
  <c r="I31" i="5"/>
  <c r="J21" i="5"/>
  <c r="J24" i="5"/>
  <c r="J13" i="5"/>
  <c r="H20" i="5"/>
  <c r="I30" i="5"/>
  <c r="J14" i="5"/>
  <c r="H32" i="5" l="1"/>
</calcChain>
</file>

<file path=xl/sharedStrings.xml><?xml version="1.0" encoding="utf-8"?>
<sst xmlns="http://schemas.openxmlformats.org/spreadsheetml/2006/main" count="576" uniqueCount="135">
  <si>
    <t>Question</t>
  </si>
  <si>
    <t>Sheet</t>
  </si>
  <si>
    <t>Type</t>
  </si>
  <si>
    <t>Reading:</t>
  </si>
  <si>
    <t>Model:</t>
  </si>
  <si>
    <t>Problem Type:</t>
  </si>
  <si>
    <t>Given</t>
  </si>
  <si>
    <t>Exam 6U: IRIS Ratios</t>
  </si>
  <si>
    <t>IRIS-1</t>
  </si>
  <si>
    <t>IRIS-2</t>
  </si>
  <si>
    <t>Return to TOC</t>
  </si>
  <si>
    <t>NAIC.IRIS</t>
  </si>
  <si>
    <t>|</t>
  </si>
  <si>
    <t>Random</t>
  </si>
  <si>
    <t>IRIS ratios</t>
  </si>
  <si>
    <t>CY</t>
  </si>
  <si>
    <t>CY-1</t>
  </si>
  <si>
    <t>CY-2</t>
  </si>
  <si>
    <t>Gross Premiums Earned</t>
  </si>
  <si>
    <t>IRIS 1</t>
  </si>
  <si>
    <t>Net Premiums Earned</t>
  </si>
  <si>
    <t>IRIS 2</t>
  </si>
  <si>
    <t>Gross Premiums Written</t>
  </si>
  <si>
    <t>IRIS 3</t>
  </si>
  <si>
    <t>Net Premiums Written</t>
  </si>
  <si>
    <t>IRIS 4</t>
  </si>
  <si>
    <t>----&gt;</t>
  </si>
  <si>
    <t>surplus aid</t>
  </si>
  <si>
    <t>Net Investment income earned</t>
  </si>
  <si>
    <t>Reinsurance Premiums ceded: Affiliates</t>
  </si>
  <si>
    <t>IRIS 5</t>
  </si>
  <si>
    <t>LR</t>
  </si>
  <si>
    <t>Reinsurance Premiums ceded: Non Affiliates</t>
  </si>
  <si>
    <t>IRIS 6</t>
  </si>
  <si>
    <t>ER</t>
  </si>
  <si>
    <t>Reinsurance Ceded Commissions</t>
  </si>
  <si>
    <t>IRIS 7</t>
  </si>
  <si>
    <t>IIR</t>
  </si>
  <si>
    <t>Reinsurance Ceded Contingent Commissions</t>
  </si>
  <si>
    <t>IRIS 8</t>
  </si>
  <si>
    <t>Total Other income</t>
  </si>
  <si>
    <t>Net Losses &amp; LAE Incurred</t>
  </si>
  <si>
    <t>IRIS 9</t>
  </si>
  <si>
    <t>Dividends to policyholders</t>
  </si>
  <si>
    <t>IRIS 10</t>
  </si>
  <si>
    <t>Other underwriting expenses incurred</t>
  </si>
  <si>
    <t>Cash &amp; Invested Assets</t>
  </si>
  <si>
    <t>IRIS 11</t>
  </si>
  <si>
    <t>Investment Income Due &amp; Accured</t>
  </si>
  <si>
    <t>IRIS 12</t>
  </si>
  <si>
    <t>Liquid Assets</t>
  </si>
  <si>
    <t>IRIS 13</t>
  </si>
  <si>
    <t>deficiency</t>
  </si>
  <si>
    <t>Agents Balances in Collection</t>
  </si>
  <si>
    <t>required</t>
  </si>
  <si>
    <t>Agents Balances Deferred</t>
  </si>
  <si>
    <t>avg(R/P)</t>
  </si>
  <si>
    <t xml:space="preserve">CY - 1: </t>
  </si>
  <si>
    <t>Total Liabilities</t>
  </si>
  <si>
    <t xml:space="preserve">CY - 2: </t>
  </si>
  <si>
    <t>Ceded UEPR: Affiliates</t>
  </si>
  <si>
    <t>Ceded UEPR: Non Affiliates</t>
  </si>
  <si>
    <t>Loss &amp; LAE Reserves</t>
  </si>
  <si>
    <t>Borrowed Money</t>
  </si>
  <si>
    <t>Surplus Paid In</t>
  </si>
  <si>
    <t>Surplus</t>
  </si>
  <si>
    <t>1yr Reserve Development</t>
  </si>
  <si>
    <t>2yr Reserve Development</t>
  </si>
  <si>
    <t>Calculating IRIS Ratios 1-13</t>
  </si>
  <si>
    <t>Find</t>
  </si>
  <si>
    <t>Problem Creation</t>
  </si>
  <si>
    <t>If IRIS 4 is unusual, recalculate IRIS 1,2,7,10,13 with surplus aid removed</t>
  </si>
  <si>
    <t>If IRIS 11 is not ok, recalculate IRIS 5 with prior year devlpt removed</t>
  </si>
  <si>
    <t>recalc due to IRIS 4</t>
  </si>
  <si>
    <t>recalc due to IRIS 11</t>
  </si>
  <si>
    <t>generator</t>
  </si>
  <si>
    <t>m</t>
  </si>
  <si>
    <t>low</t>
  </si>
  <si>
    <t>high</t>
  </si>
  <si>
    <t xml:space="preserve">M = </t>
  </si>
  <si>
    <t>--</t>
  </si>
  <si>
    <t>growth</t>
  </si>
  <si>
    <t>GWP</t>
  </si>
  <si>
    <t>ceding %</t>
  </si>
  <si>
    <t>NWP</t>
  </si>
  <si>
    <t>GEP</t>
  </si>
  <si>
    <t>NEP</t>
  </si>
  <si>
    <t>InvInc/GWP</t>
  </si>
  <si>
    <t>NIE</t>
  </si>
  <si>
    <t>A/N split</t>
  </si>
  <si>
    <t>CWPA</t>
  </si>
  <si>
    <t>CWPN</t>
  </si>
  <si>
    <t>comm</t>
  </si>
  <si>
    <t>CC</t>
  </si>
  <si>
    <t>c/cont split</t>
  </si>
  <si>
    <t>CCcont</t>
  </si>
  <si>
    <t>TOI/InvInc</t>
  </si>
  <si>
    <t>TOI</t>
  </si>
  <si>
    <t>L/NWP</t>
  </si>
  <si>
    <t>L</t>
  </si>
  <si>
    <t>Div/(NII+TOI)</t>
  </si>
  <si>
    <t>Div</t>
  </si>
  <si>
    <t>X/GWP</t>
  </si>
  <si>
    <t>X</t>
  </si>
  <si>
    <t>cash/GWP</t>
  </si>
  <si>
    <t>cash</t>
  </si>
  <si>
    <t>InvInc/Divs</t>
  </si>
  <si>
    <t>InvInc</t>
  </si>
  <si>
    <t>LiqAss/cash</t>
  </si>
  <si>
    <t>LiqAss</t>
  </si>
  <si>
    <t>AB_coll/GWP</t>
  </si>
  <si>
    <t>ABcoll</t>
  </si>
  <si>
    <t>AB_def/GWP</t>
  </si>
  <si>
    <t>ABdef</t>
  </si>
  <si>
    <t>TL/LiqAss</t>
  </si>
  <si>
    <t>TL</t>
  </si>
  <si>
    <t>CUEPR_A/CWP_A</t>
  </si>
  <si>
    <t>CUEPRA</t>
  </si>
  <si>
    <t>CUEPR_N/CWP_N</t>
  </si>
  <si>
    <t>CUEPRN</t>
  </si>
  <si>
    <t>reserves/NWP</t>
  </si>
  <si>
    <t>reserves</t>
  </si>
  <si>
    <t>B/cash</t>
  </si>
  <si>
    <t>B</t>
  </si>
  <si>
    <t>surplus/NWP</t>
  </si>
  <si>
    <t>surplus</t>
  </si>
  <si>
    <t>surplusPdIn/|chg(surplus)|</t>
  </si>
  <si>
    <t>surplusPdIn</t>
  </si>
  <si>
    <t>1yr/chg(L+LAE)</t>
  </si>
  <si>
    <t>Dev1</t>
  </si>
  <si>
    <t>2yr/chg(L+LAE)</t>
  </si>
  <si>
    <t>Dev2</t>
  </si>
  <si>
    <t>Calculate IRIS ratios 1 through 13 and state whether each is within its acceptable range.</t>
  </si>
  <si>
    <t>1-yr dev</t>
  </si>
  <si>
    <t>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</si>
</sst>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0.0%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2" fillId="7" borderId="0" applyNumberFormat="0" applyBorder="0" applyAlignment="0" applyProtection="0"/>
  </cellStyleXfs>
  <cellXfs count="112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3" fontId="0" fillId="0" borderId="7" xfId="0" applyNumberFormat="1" applyFon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0" borderId="8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3" borderId="7" xfId="0" applyNumberFormat="1" applyFont="1" applyFill="1" applyBorder="1"/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3" fontId="0" fillId="0" borderId="9" xfId="0" applyNumberFormat="1" applyFont="1" applyBorder="1"/>
    <xf numFmtId="0" fontId="0" fillId="0" borderId="10" xfId="0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3" xfId="0" applyFont="1" applyBorder="1"/>
    <xf numFmtId="3" fontId="0" fillId="3" borderId="3" xfId="0" applyNumberFormat="1" applyFont="1" applyFill="1" applyBorder="1"/>
    <xf numFmtId="0" fontId="0" fillId="0" borderId="0" xfId="0" applyAlignment="1">
      <alignment horizontal="center"/>
    </xf>
    <xf numFmtId="9" fontId="0" fillId="0" borderId="0" xfId="2" applyFont="1"/>
    <xf numFmtId="0" fontId="5" fillId="0" borderId="0" xfId="0" applyFont="1" applyAlignment="1">
      <alignment horizontal="center"/>
    </xf>
    <xf numFmtId="164" fontId="0" fillId="0" borderId="0" xfId="0" applyNumberFormat="1"/>
    <xf numFmtId="0" fontId="0" fillId="0" borderId="0" xfId="0" applyFont="1" applyBorder="1"/>
    <xf numFmtId="3" fontId="0" fillId="0" borderId="0" xfId="0" applyNumberFormat="1" applyFont="1" applyBorder="1"/>
    <xf numFmtId="3" fontId="0" fillId="3" borderId="0" xfId="0" applyNumberFormat="1" applyFont="1" applyFill="1" applyBorder="1"/>
    <xf numFmtId="0" fontId="0" fillId="0" borderId="1" xfId="0" applyFont="1" applyBorder="1"/>
    <xf numFmtId="3" fontId="0" fillId="3" borderId="1" xfId="0" applyNumberFormat="1" applyFont="1" applyFill="1" applyBorder="1"/>
    <xf numFmtId="0" fontId="0" fillId="0" borderId="0" xfId="0" quotePrefix="1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166" fontId="0" fillId="0" borderId="0" xfId="2" applyNumberFormat="1" applyFont="1"/>
    <xf numFmtId="10" fontId="0" fillId="0" borderId="0" xfId="2" applyNumberFormat="1" applyFont="1"/>
    <xf numFmtId="167" fontId="0" fillId="0" borderId="0" xfId="0" applyNumberFormat="1"/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3" fillId="0" borderId="0" xfId="0" applyFont="1" applyAlignment="1">
      <alignment horizontal="center"/>
    </xf>
    <xf numFmtId="3" fontId="1" fillId="0" borderId="0" xfId="0" applyNumberFormat="1" applyFont="1"/>
    <xf numFmtId="0" fontId="8" fillId="5" borderId="9" xfId="4" applyBorder="1"/>
    <xf numFmtId="0" fontId="8" fillId="5" borderId="10" xfId="4" applyBorder="1"/>
    <xf numFmtId="0" fontId="8" fillId="5" borderId="11" xfId="4" applyBorder="1"/>
    <xf numFmtId="0" fontId="9" fillId="6" borderId="9" xfId="5" applyBorder="1"/>
    <xf numFmtId="0" fontId="9" fillId="6" borderId="10" xfId="5" applyBorder="1"/>
    <xf numFmtId="0" fontId="9" fillId="6" borderId="11" xfId="5" applyBorder="1"/>
    <xf numFmtId="0" fontId="14" fillId="0" borderId="9" xfId="0" applyFont="1" applyBorder="1"/>
    <xf numFmtId="0" fontId="0" fillId="0" borderId="11" xfId="0" applyFont="1" applyBorder="1"/>
    <xf numFmtId="3" fontId="0" fillId="0" borderId="11" xfId="0" applyNumberFormat="1" applyBorder="1"/>
    <xf numFmtId="0" fontId="8" fillId="5" borderId="12" xfId="4" applyBorder="1" applyAlignment="1">
      <alignment horizontal="left"/>
    </xf>
    <xf numFmtId="0" fontId="8" fillId="5" borderId="12" xfId="4" applyBorder="1" applyAlignment="1">
      <alignment horizontal="center"/>
    </xf>
    <xf numFmtId="0" fontId="9" fillId="6" borderId="12" xfId="5" applyBorder="1" applyAlignment="1">
      <alignment horizontal="left"/>
    </xf>
    <xf numFmtId="0" fontId="9" fillId="6" borderId="12" xfId="5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0" fillId="7" borderId="0" xfId="6" applyNumberFormat="1" applyFont="1" applyAlignment="1">
      <alignment horizontal="center"/>
    </xf>
    <xf numFmtId="3" fontId="8" fillId="5" borderId="0" xfId="4" applyNumberFormat="1" applyAlignment="1">
      <alignment horizontal="center"/>
    </xf>
    <xf numFmtId="3" fontId="7" fillId="4" borderId="0" xfId="3" applyNumberFormat="1" applyAlignment="1">
      <alignment horizontal="center"/>
    </xf>
    <xf numFmtId="3" fontId="9" fillId="6" borderId="0" xfId="5" applyNumberFormat="1" applyAlignment="1">
      <alignment horizontal="center"/>
    </xf>
    <xf numFmtId="165" fontId="9" fillId="6" borderId="0" xfId="5" applyNumberFormat="1" applyAlignment="1">
      <alignment horizontal="center"/>
    </xf>
    <xf numFmtId="9" fontId="8" fillId="5" borderId="0" xfId="4" applyNumberFormat="1"/>
    <xf numFmtId="0" fontId="0" fillId="0" borderId="0" xfId="0" quotePrefix="1" applyFont="1" applyAlignment="1">
      <alignment horizontal="center"/>
    </xf>
    <xf numFmtId="166" fontId="0" fillId="0" borderId="0" xfId="2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3" fontId="0" fillId="0" borderId="0" xfId="2" applyNumberFormat="1" applyFont="1" applyAlignment="1">
      <alignment horizontal="center"/>
    </xf>
    <xf numFmtId="3" fontId="11" fillId="0" borderId="0" xfId="2" applyNumberFormat="1" applyFont="1" applyAlignment="1">
      <alignment horizontal="center"/>
    </xf>
    <xf numFmtId="3" fontId="1" fillId="0" borderId="2" xfId="0" applyNumberFormat="1" applyFont="1" applyBorder="1"/>
    <xf numFmtId="3" fontId="15" fillId="3" borderId="3" xfId="3" applyNumberFormat="1" applyFont="1" applyFill="1" applyBorder="1"/>
    <xf numFmtId="3" fontId="15" fillId="3" borderId="3" xfId="5" applyNumberFormat="1" applyFont="1" applyFill="1" applyBorder="1"/>
    <xf numFmtId="3" fontId="15" fillId="3" borderId="4" xfId="5" applyNumberFormat="1" applyFont="1" applyFill="1" applyBorder="1"/>
    <xf numFmtId="3" fontId="1" fillId="0" borderId="8" xfId="0" applyNumberFormat="1" applyFont="1" applyBorder="1"/>
    <xf numFmtId="3" fontId="15" fillId="3" borderId="0" xfId="0" applyNumberFormat="1" applyFont="1" applyFill="1" applyBorder="1"/>
    <xf numFmtId="3" fontId="15" fillId="3" borderId="7" xfId="0" applyNumberFormat="1" applyFont="1" applyFill="1" applyBorder="1"/>
    <xf numFmtId="3" fontId="15" fillId="3" borderId="0" xfId="5" applyNumberFormat="1" applyFont="1" applyFill="1" applyBorder="1"/>
    <xf numFmtId="3" fontId="1" fillId="0" borderId="5" xfId="0" applyNumberFormat="1" applyFont="1" applyBorder="1"/>
    <xf numFmtId="3" fontId="15" fillId="3" borderId="1" xfId="5" applyNumberFormat="1" applyFont="1" applyFill="1" applyBorder="1"/>
    <xf numFmtId="3" fontId="15" fillId="3" borderId="1" xfId="0" applyNumberFormat="1" applyFont="1" applyFill="1" applyBorder="1"/>
    <xf numFmtId="3" fontId="15" fillId="3" borderId="6" xfId="0" applyNumberFormat="1" applyFont="1" applyFill="1" applyBorder="1"/>
    <xf numFmtId="0" fontId="16" fillId="6" borderId="0" xfId="5" applyFont="1" applyAlignment="1">
      <alignment horizontal="center"/>
    </xf>
    <xf numFmtId="3" fontId="15" fillId="3" borderId="3" xfId="0" applyNumberFormat="1" applyFont="1" applyFill="1" applyBorder="1"/>
    <xf numFmtId="3" fontId="15" fillId="3" borderId="4" xfId="0" applyNumberFormat="1" applyFont="1" applyFill="1" applyBorder="1"/>
    <xf numFmtId="3" fontId="15" fillId="3" borderId="1" xfId="0" applyNumberFormat="1" applyFont="1" applyFill="1" applyBorder="1" applyAlignment="1">
      <alignment horizontal="center"/>
    </xf>
    <xf numFmtId="3" fontId="15" fillId="3" borderId="6" xfId="0" applyNumberFormat="1" applyFont="1" applyFill="1" applyBorder="1" applyAlignment="1">
      <alignment horizontal="center"/>
    </xf>
    <xf numFmtId="3" fontId="9" fillId="6" borderId="0" xfId="5" applyNumberFormat="1"/>
    <xf numFmtId="3" fontId="17" fillId="0" borderId="0" xfId="0" applyNumberFormat="1" applyFont="1"/>
    <xf numFmtId="3" fontId="13" fillId="0" borderId="0" xfId="0" quotePrefix="1" applyNumberFormat="1" applyFont="1" applyAlignment="1">
      <alignment horizontal="center"/>
    </xf>
    <xf numFmtId="9" fontId="9" fillId="6" borderId="0" xfId="5" applyNumberFormat="1"/>
    <xf numFmtId="3" fontId="0" fillId="0" borderId="13" xfId="0" applyNumberFormat="1" applyBorder="1"/>
    <xf numFmtId="9" fontId="0" fillId="0" borderId="14" xfId="2" applyFont="1" applyBorder="1" applyAlignment="1">
      <alignment horizontal="center"/>
    </xf>
    <xf numFmtId="3" fontId="0" fillId="0" borderId="9" xfId="0" applyNumberFormat="1" applyBorder="1"/>
    <xf numFmtId="164" fontId="0" fillId="0" borderId="14" xfId="0" applyNumberFormat="1" applyBorder="1"/>
    <xf numFmtId="0" fontId="2" fillId="2" borderId="0" xfId="0" applyFont="1" applyFill="1" applyAlignment="1">
      <alignment horizontal="center"/>
    </xf>
    <xf numFmtId="1" fontId="0" fillId="0" borderId="5" xfId="2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</cellXfs>
  <cellStyles count="7">
    <cellStyle name="Accent2" xfId="6" builtinId="33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24" customWidth="1"/>
    <col min="3" max="3" width="58.28515625" style="2" bestFit="1" customWidth="1"/>
    <col min="4" max="16384" width="9.140625" style="1"/>
  </cols>
  <sheetData>
    <row r="5" spans="1:3" x14ac:dyDescent="0.25">
      <c r="A5" s="107" t="s">
        <v>7</v>
      </c>
      <c r="B5" s="107"/>
      <c r="C5" s="107"/>
    </row>
    <row r="6" spans="1:3" ht="21" customHeight="1" x14ac:dyDescent="0.25">
      <c r="A6" s="107"/>
      <c r="B6" s="107"/>
      <c r="C6" s="107"/>
    </row>
    <row r="8" spans="1:3" x14ac:dyDescent="0.25">
      <c r="A8" s="2"/>
      <c r="B8" s="22"/>
    </row>
    <row r="9" spans="1:3" x14ac:dyDescent="0.25">
      <c r="A9" s="3" t="s">
        <v>0</v>
      </c>
      <c r="B9" s="23" t="s">
        <v>1</v>
      </c>
      <c r="C9" s="23" t="s">
        <v>2</v>
      </c>
    </row>
    <row r="10" spans="1:3" x14ac:dyDescent="0.25">
      <c r="A10" s="10">
        <v>1</v>
      </c>
      <c r="B10" s="22" t="s">
        <v>8</v>
      </c>
      <c r="C10" s="2" t="s">
        <v>68</v>
      </c>
    </row>
    <row r="11" spans="1:3" x14ac:dyDescent="0.25">
      <c r="A11" s="10">
        <v>2</v>
      </c>
      <c r="B11" s="22" t="s">
        <v>9</v>
      </c>
      <c r="C11" s="2" t="s">
        <v>68</v>
      </c>
    </row>
    <row r="12" spans="1:3" x14ac:dyDescent="0.25">
      <c r="A12" s="10"/>
      <c r="B12" s="22"/>
    </row>
    <row r="13" spans="1:3" x14ac:dyDescent="0.25">
      <c r="A13" s="4"/>
      <c r="B13" s="22"/>
    </row>
    <row r="14" spans="1:3" x14ac:dyDescent="0.25">
      <c r="A14" s="4"/>
      <c r="B14" s="22"/>
    </row>
    <row r="15" spans="1:3" x14ac:dyDescent="0.25">
      <c r="A15" s="4"/>
      <c r="B15" s="22"/>
    </row>
    <row r="16" spans="1:3" x14ac:dyDescent="0.25">
      <c r="A16" s="4"/>
      <c r="B16" s="22"/>
    </row>
    <row r="17" spans="1:2" x14ac:dyDescent="0.25">
      <c r="A17" s="4"/>
      <c r="B17" s="22"/>
    </row>
    <row r="18" spans="1:2" x14ac:dyDescent="0.25">
      <c r="A18" s="4"/>
      <c r="B18" s="22"/>
    </row>
    <row r="19" spans="1:2" x14ac:dyDescent="0.25">
      <c r="A19" s="4"/>
      <c r="B19" s="22"/>
    </row>
    <row r="20" spans="1:2" x14ac:dyDescent="0.25">
      <c r="A20" s="4"/>
      <c r="B20" s="22"/>
    </row>
    <row r="21" spans="1:2" x14ac:dyDescent="0.25">
      <c r="A21" s="4"/>
      <c r="B21" s="22"/>
    </row>
    <row r="22" spans="1:2" x14ac:dyDescent="0.25">
      <c r="A22" s="4"/>
      <c r="B22" s="22"/>
    </row>
    <row r="23" spans="1:2" x14ac:dyDescent="0.25">
      <c r="A23" s="4"/>
      <c r="B23" s="22"/>
    </row>
    <row r="24" spans="1:2" x14ac:dyDescent="0.25">
      <c r="A24" s="4"/>
      <c r="B24" s="22"/>
    </row>
    <row r="25" spans="1:2" x14ac:dyDescent="0.25">
      <c r="A25" s="4"/>
      <c r="B25" s="22"/>
    </row>
    <row r="26" spans="1:2" x14ac:dyDescent="0.25">
      <c r="A26" s="4"/>
      <c r="B26" s="22"/>
    </row>
    <row r="27" spans="1:2" x14ac:dyDescent="0.25">
      <c r="A27" s="4"/>
      <c r="B27" s="22"/>
    </row>
    <row r="28" spans="1:2" x14ac:dyDescent="0.25">
      <c r="A28" s="4"/>
      <c r="B28" s="22"/>
    </row>
    <row r="29" spans="1:2" x14ac:dyDescent="0.25">
      <c r="A29" s="4"/>
      <c r="B29" s="22"/>
    </row>
    <row r="30" spans="1:2" x14ac:dyDescent="0.25">
      <c r="A30" s="4"/>
      <c r="B30" s="22"/>
    </row>
    <row r="31" spans="1:2" x14ac:dyDescent="0.25">
      <c r="A31" s="4"/>
      <c r="B31" s="22"/>
    </row>
    <row r="32" spans="1:2" x14ac:dyDescent="0.25">
      <c r="A32" s="4"/>
      <c r="B32" s="22"/>
    </row>
    <row r="33" spans="1:2" x14ac:dyDescent="0.25">
      <c r="A33" s="4"/>
      <c r="B33" s="22"/>
    </row>
    <row r="34" spans="1:2" x14ac:dyDescent="0.25">
      <c r="A34" s="4"/>
      <c r="B34" s="22"/>
    </row>
    <row r="35" spans="1:2" x14ac:dyDescent="0.25">
      <c r="A35" s="4"/>
      <c r="B35" s="22"/>
    </row>
    <row r="36" spans="1:2" x14ac:dyDescent="0.25">
      <c r="A36" s="4"/>
      <c r="B36" s="22"/>
    </row>
    <row r="37" spans="1:2" x14ac:dyDescent="0.25">
      <c r="A37" s="4"/>
      <c r="B37" s="22"/>
    </row>
    <row r="38" spans="1:2" x14ac:dyDescent="0.25">
      <c r="A38" s="4"/>
      <c r="B38" s="22"/>
    </row>
    <row r="39" spans="1:2" x14ac:dyDescent="0.25">
      <c r="A39" s="4"/>
      <c r="B39" s="22"/>
    </row>
    <row r="40" spans="1:2" x14ac:dyDescent="0.25">
      <c r="A40" s="4"/>
      <c r="B40" s="22"/>
    </row>
    <row r="41" spans="1:2" x14ac:dyDescent="0.25">
      <c r="A41" s="4"/>
      <c r="B41" s="22"/>
    </row>
    <row r="42" spans="1:2" x14ac:dyDescent="0.25">
      <c r="A42" s="4"/>
      <c r="B42" s="22"/>
    </row>
    <row r="43" spans="1:2" x14ac:dyDescent="0.25">
      <c r="A43" s="4"/>
      <c r="B43" s="22"/>
    </row>
    <row r="44" spans="1:2" x14ac:dyDescent="0.25">
      <c r="A44" s="4"/>
      <c r="B44" s="22"/>
    </row>
    <row r="45" spans="1:2" x14ac:dyDescent="0.25">
      <c r="A45" s="4"/>
      <c r="B45" s="22"/>
    </row>
    <row r="46" spans="1:2" x14ac:dyDescent="0.25">
      <c r="A46" s="4"/>
      <c r="B46" s="22"/>
    </row>
    <row r="47" spans="1:2" x14ac:dyDescent="0.25">
      <c r="A47" s="4"/>
      <c r="B47" s="22"/>
    </row>
    <row r="48" spans="1:2" x14ac:dyDescent="0.25">
      <c r="A48" s="4"/>
      <c r="B48" s="22"/>
    </row>
    <row r="49" spans="1:2" x14ac:dyDescent="0.25">
      <c r="A49" s="4"/>
      <c r="B49" s="22"/>
    </row>
    <row r="50" spans="1:2" x14ac:dyDescent="0.25">
      <c r="A50" s="4"/>
      <c r="B50" s="22"/>
    </row>
    <row r="51" spans="1:2" x14ac:dyDescent="0.25">
      <c r="A51" s="4"/>
      <c r="B51" s="22"/>
    </row>
    <row r="52" spans="1:2" x14ac:dyDescent="0.25">
      <c r="A52" s="4"/>
      <c r="B52" s="22"/>
    </row>
    <row r="53" spans="1:2" x14ac:dyDescent="0.25">
      <c r="A53" s="4"/>
      <c r="B53" s="22"/>
    </row>
    <row r="54" spans="1:2" x14ac:dyDescent="0.25">
      <c r="A54" s="4"/>
      <c r="B54" s="22"/>
    </row>
    <row r="55" spans="1:2" x14ac:dyDescent="0.25">
      <c r="A55" s="4"/>
      <c r="B55" s="22"/>
    </row>
    <row r="56" spans="1:2" x14ac:dyDescent="0.25">
      <c r="A56" s="4"/>
      <c r="B56" s="22"/>
    </row>
    <row r="57" spans="1:2" x14ac:dyDescent="0.25">
      <c r="A57" s="4"/>
      <c r="B57" s="22"/>
    </row>
    <row r="58" spans="1:2" x14ac:dyDescent="0.25">
      <c r="A58" s="4"/>
      <c r="B58" s="22"/>
    </row>
    <row r="59" spans="1:2" x14ac:dyDescent="0.25">
      <c r="A59" s="4"/>
      <c r="B59" s="22"/>
    </row>
    <row r="60" spans="1:2" x14ac:dyDescent="0.25">
      <c r="A60" s="4"/>
      <c r="B60" s="22"/>
    </row>
    <row r="61" spans="1:2" x14ac:dyDescent="0.25">
      <c r="A61" s="4"/>
      <c r="B61" s="22"/>
    </row>
    <row r="62" spans="1:2" x14ac:dyDescent="0.25">
      <c r="A62" s="4"/>
      <c r="B62" s="22"/>
    </row>
    <row r="63" spans="1:2" x14ac:dyDescent="0.25">
      <c r="A63" s="4"/>
      <c r="B63" s="22"/>
    </row>
    <row r="64" spans="1:2" x14ac:dyDescent="0.25">
      <c r="A64" s="4"/>
      <c r="B64" s="22"/>
    </row>
    <row r="65" spans="1:2" x14ac:dyDescent="0.25">
      <c r="A65" s="4"/>
      <c r="B65" s="22"/>
    </row>
    <row r="66" spans="1:2" x14ac:dyDescent="0.25">
      <c r="A66" s="4"/>
      <c r="B66" s="22"/>
    </row>
    <row r="67" spans="1:2" x14ac:dyDescent="0.25">
      <c r="A67" s="4"/>
      <c r="B67" s="22"/>
    </row>
    <row r="68" spans="1:2" x14ac:dyDescent="0.25">
      <c r="A68" s="4"/>
      <c r="B68" s="22"/>
    </row>
    <row r="69" spans="1:2" x14ac:dyDescent="0.25">
      <c r="A69" s="4"/>
      <c r="B69" s="22"/>
    </row>
    <row r="70" spans="1:2" x14ac:dyDescent="0.25">
      <c r="A70" s="4"/>
      <c r="B70" s="22"/>
    </row>
    <row r="71" spans="1:2" x14ac:dyDescent="0.25">
      <c r="A71" s="4"/>
      <c r="B71" s="22"/>
    </row>
    <row r="72" spans="1:2" x14ac:dyDescent="0.25">
      <c r="A72" s="4"/>
      <c r="B72" s="22"/>
    </row>
    <row r="73" spans="1:2" x14ac:dyDescent="0.25">
      <c r="A73" s="4"/>
      <c r="B73" s="22"/>
    </row>
    <row r="74" spans="1:2" x14ac:dyDescent="0.25">
      <c r="A74" s="4"/>
      <c r="B74" s="22"/>
    </row>
    <row r="75" spans="1:2" x14ac:dyDescent="0.25">
      <c r="A75" s="4"/>
      <c r="B75" s="22"/>
    </row>
    <row r="76" spans="1:2" x14ac:dyDescent="0.25">
      <c r="A76" s="4"/>
      <c r="B76" s="22"/>
    </row>
    <row r="77" spans="1:2" x14ac:dyDescent="0.25">
      <c r="A77" s="4"/>
      <c r="B77" s="22"/>
    </row>
    <row r="78" spans="1:2" x14ac:dyDescent="0.25">
      <c r="A78" s="4"/>
      <c r="B78" s="22"/>
    </row>
    <row r="79" spans="1:2" x14ac:dyDescent="0.25">
      <c r="A79" s="4"/>
      <c r="B79" s="22"/>
    </row>
    <row r="80" spans="1:2" x14ac:dyDescent="0.25">
      <c r="A80" s="4"/>
      <c r="B80" s="22"/>
    </row>
    <row r="81" spans="1:2" x14ac:dyDescent="0.25">
      <c r="A81" s="4"/>
      <c r="B81" s="22"/>
    </row>
    <row r="82" spans="1:2" x14ac:dyDescent="0.25">
      <c r="A82" s="4"/>
      <c r="B82" s="22"/>
    </row>
    <row r="83" spans="1:2" x14ac:dyDescent="0.25">
      <c r="A83" s="4"/>
      <c r="B83" s="22"/>
    </row>
    <row r="84" spans="1:2" x14ac:dyDescent="0.25">
      <c r="A84" s="4"/>
      <c r="B84" s="22"/>
    </row>
    <row r="85" spans="1:2" x14ac:dyDescent="0.25">
      <c r="A85" s="4"/>
      <c r="B85" s="22"/>
    </row>
    <row r="86" spans="1:2" x14ac:dyDescent="0.25">
      <c r="A86" s="4"/>
      <c r="B86" s="22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IRIS-1'!A1" display="'IRIS-1'!A1"/>
    <hyperlink ref="A11" location="'IRIS-2'!A1" display="'IRIS-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L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38" ht="15" customHeight="1" x14ac:dyDescent="0.25">
      <c r="A1" s="5" t="s">
        <v>3</v>
      </c>
      <c r="C1" t="s">
        <v>11</v>
      </c>
      <c r="M1" s="25" t="s">
        <v>10</v>
      </c>
      <c r="N1" s="8" t="s">
        <v>12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55" t="s">
        <v>12</v>
      </c>
      <c r="AC1" s="56" t="s">
        <v>70</v>
      </c>
      <c r="AD1" s="9"/>
      <c r="AE1" s="9"/>
      <c r="AF1" s="9"/>
    </row>
    <row r="2" spans="1:38" ht="15" customHeight="1" x14ac:dyDescent="0.25">
      <c r="A2" s="5" t="s">
        <v>4</v>
      </c>
      <c r="C2" s="26" t="s">
        <v>13</v>
      </c>
      <c r="M2" s="9"/>
      <c r="N2" s="8" t="s">
        <v>12</v>
      </c>
      <c r="O2" s="57" t="s">
        <v>71</v>
      </c>
      <c r="P2" s="58"/>
      <c r="Q2" s="58"/>
      <c r="R2" s="58"/>
      <c r="S2" s="58"/>
      <c r="T2" s="58"/>
      <c r="U2" s="59"/>
      <c r="V2" s="9"/>
      <c r="W2" s="9"/>
      <c r="X2" s="9"/>
      <c r="Y2" s="9"/>
      <c r="Z2" s="9"/>
      <c r="AA2" s="9"/>
      <c r="AB2" s="55" t="s">
        <v>12</v>
      </c>
      <c r="AC2" s="9"/>
      <c r="AD2" s="9"/>
      <c r="AE2" s="9"/>
      <c r="AF2" s="9"/>
    </row>
    <row r="3" spans="1:38" ht="15" customHeight="1" x14ac:dyDescent="0.25">
      <c r="A3" s="5" t="s">
        <v>5</v>
      </c>
      <c r="C3" s="6" t="s">
        <v>14</v>
      </c>
      <c r="M3" s="9"/>
      <c r="N3" s="8" t="s">
        <v>12</v>
      </c>
      <c r="O3" s="60" t="s">
        <v>72</v>
      </c>
      <c r="P3" s="61"/>
      <c r="Q3" s="61"/>
      <c r="R3" s="61"/>
      <c r="S3" s="61"/>
      <c r="T3" s="61"/>
      <c r="U3" s="62"/>
      <c r="AA3" s="9"/>
      <c r="AB3" s="55" t="s">
        <v>12</v>
      </c>
    </row>
    <row r="4" spans="1:38" ht="15" customHeight="1" x14ac:dyDescent="0.25">
      <c r="M4" s="9"/>
      <c r="N4" s="8" t="s">
        <v>12</v>
      </c>
      <c r="X4" s="63" t="str">
        <f>IF(Q9&lt;&gt;"ok","required:","NOT required:")</f>
        <v>required:</v>
      </c>
      <c r="Y4" s="64"/>
      <c r="Z4" s="63" t="str">
        <f>IF(Q19&lt;&gt;"usual","required:","NOT required:")</f>
        <v>NOT required:</v>
      </c>
      <c r="AA4" s="65"/>
      <c r="AB4" s="55" t="s">
        <v>12</v>
      </c>
    </row>
    <row r="5" spans="1:38" ht="15" customHeight="1" x14ac:dyDescent="0.25">
      <c r="A5" s="5" t="s">
        <v>6</v>
      </c>
      <c r="C5" s="27"/>
      <c r="D5" s="28"/>
      <c r="E5" s="29"/>
      <c r="F5" s="29"/>
      <c r="G5" s="30"/>
      <c r="H5" s="31" t="s">
        <v>15</v>
      </c>
      <c r="I5" s="31" t="s">
        <v>16</v>
      </c>
      <c r="J5" s="32" t="s">
        <v>17</v>
      </c>
      <c r="M5" s="9"/>
      <c r="N5" s="8" t="s">
        <v>12</v>
      </c>
      <c r="X5" s="66" t="s">
        <v>73</v>
      </c>
      <c r="Y5" s="67"/>
      <c r="Z5" s="68" t="s">
        <v>74</v>
      </c>
      <c r="AA5" s="69"/>
      <c r="AB5" s="55" t="s">
        <v>12</v>
      </c>
      <c r="AC5" s="9"/>
      <c r="AD5" s="9"/>
      <c r="AE5" s="70" t="s">
        <v>75</v>
      </c>
      <c r="AF5" s="71" t="s">
        <v>76</v>
      </c>
      <c r="AG5" s="72" t="s">
        <v>77</v>
      </c>
      <c r="AH5" s="73" t="s">
        <v>78</v>
      </c>
      <c r="AI5" s="74" t="s">
        <v>79</v>
      </c>
      <c r="AJ5" s="75">
        <v>1</v>
      </c>
      <c r="AK5" s="9"/>
      <c r="AL5" s="9"/>
    </row>
    <row r="6" spans="1:38" ht="15" customHeight="1" x14ac:dyDescent="0.25">
      <c r="B6" s="7"/>
      <c r="C6" s="13" t="s">
        <v>18</v>
      </c>
      <c r="D6" s="33"/>
      <c r="E6" s="33"/>
      <c r="F6" s="16"/>
      <c r="G6" s="14"/>
      <c r="H6" s="34">
        <v>1390</v>
      </c>
      <c r="I6" s="34">
        <v>1263.6363636363635</v>
      </c>
      <c r="J6" s="15">
        <v>1148.7603305785121</v>
      </c>
      <c r="M6" s="7"/>
      <c r="N6" s="8" t="s">
        <v>12</v>
      </c>
      <c r="O6" s="35" t="s">
        <v>19</v>
      </c>
      <c r="P6" s="36">
        <f>H8/H29</f>
        <v>6.5205468018767254</v>
      </c>
      <c r="Q6" s="37" t="str">
        <f>IF(P6&gt;=900%,"unusual","ok")</f>
        <v>ok</v>
      </c>
      <c r="R6"/>
      <c r="S6"/>
      <c r="T6"/>
      <c r="U6" s="9"/>
      <c r="V6" s="38"/>
      <c r="W6" s="7"/>
      <c r="X6" s="37" t="s">
        <v>19</v>
      </c>
      <c r="Y6" s="76">
        <f>IF(Q9="ok","",H8/(H29-T9))</f>
        <v>7.7203361890244171</v>
      </c>
      <c r="Z6" s="9"/>
      <c r="AA6" s="77" t="s">
        <v>80</v>
      </c>
      <c r="AB6" s="55" t="s">
        <v>12</v>
      </c>
      <c r="AC6" s="9" t="s">
        <v>81</v>
      </c>
      <c r="AD6" s="9"/>
      <c r="AE6" s="78">
        <v>0.1</v>
      </c>
      <c r="AF6" s="79">
        <v>1</v>
      </c>
      <c r="AG6" s="80">
        <v>100</v>
      </c>
      <c r="AH6" s="81">
        <v>150</v>
      </c>
      <c r="AI6" s="82" t="s">
        <v>82</v>
      </c>
      <c r="AJ6" s="83">
        <v>1390</v>
      </c>
      <c r="AK6" s="84">
        <v>1263.6363636363635</v>
      </c>
      <c r="AL6" s="85">
        <v>1148.7603305785121</v>
      </c>
    </row>
    <row r="7" spans="1:38" ht="15" customHeight="1" x14ac:dyDescent="0.25">
      <c r="B7" s="7"/>
      <c r="C7" s="17" t="s">
        <v>20</v>
      </c>
      <c r="D7" s="39"/>
      <c r="E7" s="39"/>
      <c r="F7" s="40"/>
      <c r="G7" s="11"/>
      <c r="H7" s="41">
        <v>667.2</v>
      </c>
      <c r="I7" s="41">
        <v>889.6</v>
      </c>
      <c r="J7" s="21">
        <v>882.24793388429737</v>
      </c>
      <c r="M7" s="7"/>
      <c r="N7" s="8" t="s">
        <v>12</v>
      </c>
      <c r="O7" s="35" t="s">
        <v>21</v>
      </c>
      <c r="P7" s="36">
        <f>H9/H29</f>
        <v>3.6341180842459622</v>
      </c>
      <c r="Q7" s="37" t="str">
        <f>IF(P7&gt;=300%,"unusual","ok")</f>
        <v>unusual</v>
      </c>
      <c r="R7"/>
      <c r="S7"/>
      <c r="T7"/>
      <c r="U7" s="9"/>
      <c r="V7" s="38"/>
      <c r="X7" s="37" t="s">
        <v>21</v>
      </c>
      <c r="Y7" s="76">
        <f>IF(Q9="ok","",H9/(H29-T9))</f>
        <v>4.3028007026829425</v>
      </c>
      <c r="Z7" s="9"/>
      <c r="AA7" s="77" t="s">
        <v>80</v>
      </c>
      <c r="AB7" s="55" t="s">
        <v>12</v>
      </c>
      <c r="AC7" s="9" t="s">
        <v>83</v>
      </c>
      <c r="AD7" s="9"/>
      <c r="AE7" s="78">
        <v>0.2</v>
      </c>
      <c r="AF7" s="79">
        <v>1</v>
      </c>
      <c r="AG7" s="81">
        <v>60</v>
      </c>
      <c r="AH7" s="80">
        <v>100</v>
      </c>
      <c r="AI7" s="86" t="s">
        <v>84</v>
      </c>
      <c r="AJ7" s="87">
        <v>667.2</v>
      </c>
      <c r="AK7" s="87">
        <v>889.6</v>
      </c>
      <c r="AL7" s="88">
        <v>882.24793388429737</v>
      </c>
    </row>
    <row r="8" spans="1:38" ht="15" customHeight="1" x14ac:dyDescent="0.25">
      <c r="B8" s="7"/>
      <c r="C8" s="17" t="s">
        <v>22</v>
      </c>
      <c r="D8" s="39"/>
      <c r="E8" s="39"/>
      <c r="F8" s="40"/>
      <c r="G8" s="11"/>
      <c r="H8" s="41">
        <v>1326.8181818181818</v>
      </c>
      <c r="I8" s="41">
        <v>1206.1983471074379</v>
      </c>
      <c r="J8" s="21">
        <v>1096.5439519158526</v>
      </c>
      <c r="M8" s="7"/>
      <c r="N8" s="8" t="s">
        <v>12</v>
      </c>
      <c r="O8" s="35" t="s">
        <v>23</v>
      </c>
      <c r="P8" s="36">
        <f>(H9-I9)/I9</f>
        <v>5.7692307692307807E-2</v>
      </c>
      <c r="Q8" s="37" t="str">
        <f>IF(OR(P8&lt;=-33%, P8&gt;=33%),"unusual","ok")</f>
        <v>ok</v>
      </c>
      <c r="R8"/>
      <c r="S8"/>
      <c r="T8"/>
      <c r="U8" s="9"/>
      <c r="V8" s="38"/>
      <c r="X8" s="35" t="s">
        <v>23</v>
      </c>
      <c r="Y8" s="77" t="s">
        <v>80</v>
      </c>
      <c r="Z8" s="9"/>
      <c r="AA8" s="77" t="s">
        <v>80</v>
      </c>
      <c r="AB8" s="55" t="s">
        <v>12</v>
      </c>
      <c r="AC8" s="9" t="s">
        <v>81</v>
      </c>
      <c r="AD8" s="9"/>
      <c r="AE8" s="78">
        <v>0.1</v>
      </c>
      <c r="AF8" s="79">
        <v>1</v>
      </c>
      <c r="AG8" s="80">
        <v>100</v>
      </c>
      <c r="AH8" s="80">
        <v>100</v>
      </c>
      <c r="AI8" s="86" t="s">
        <v>85</v>
      </c>
      <c r="AJ8" s="89">
        <v>1326.8181818181818</v>
      </c>
      <c r="AK8" s="87">
        <v>1206.1983471074379</v>
      </c>
      <c r="AL8" s="88">
        <v>1096.5439519158526</v>
      </c>
    </row>
    <row r="9" spans="1:38" ht="15" customHeight="1" x14ac:dyDescent="0.25">
      <c r="B9" s="7"/>
      <c r="C9" s="18" t="s">
        <v>24</v>
      </c>
      <c r="D9" s="42"/>
      <c r="E9" s="42"/>
      <c r="F9" s="12"/>
      <c r="G9" s="19"/>
      <c r="H9" s="43">
        <v>739.48000000000013</v>
      </c>
      <c r="I9" s="43">
        <v>699.14472727272732</v>
      </c>
      <c r="J9" s="20">
        <v>572.02750413223146</v>
      </c>
      <c r="M9" s="7"/>
      <c r="N9" s="8" t="s">
        <v>12</v>
      </c>
      <c r="O9" s="35" t="s">
        <v>25</v>
      </c>
      <c r="P9" s="36">
        <f>T9/H29</f>
        <v>0.15540636544472861</v>
      </c>
      <c r="Q9" s="37" t="str">
        <f>IF(P9&gt;=15%,"unusual","ok")</f>
        <v>unusual</v>
      </c>
      <c r="R9" s="44" t="s">
        <v>26</v>
      </c>
      <c r="S9" s="37" t="s">
        <v>27</v>
      </c>
      <c r="T9" s="45">
        <f>(SUM(H13:H14)/SUM(H11:H12))*H26</f>
        <v>31.622499999999995</v>
      </c>
      <c r="U9" s="9"/>
      <c r="V9" s="103" t="s">
        <v>133</v>
      </c>
      <c r="X9" s="35" t="s">
        <v>25</v>
      </c>
      <c r="Y9" s="77" t="s">
        <v>80</v>
      </c>
      <c r="Z9" s="9"/>
      <c r="AA9" s="77" t="s">
        <v>80</v>
      </c>
      <c r="AB9" s="55" t="s">
        <v>12</v>
      </c>
      <c r="AC9" s="9" t="s">
        <v>81</v>
      </c>
      <c r="AD9" s="9"/>
      <c r="AE9" s="78">
        <v>0.1</v>
      </c>
      <c r="AF9" s="79">
        <v>1</v>
      </c>
      <c r="AG9" s="81">
        <v>90</v>
      </c>
      <c r="AH9" s="81">
        <v>110</v>
      </c>
      <c r="AI9" s="90" t="s">
        <v>86</v>
      </c>
      <c r="AJ9" s="91">
        <v>739.48000000000013</v>
      </c>
      <c r="AK9" s="92">
        <v>699.14472727272732</v>
      </c>
      <c r="AL9" s="93">
        <v>572.02750413223146</v>
      </c>
    </row>
    <row r="10" spans="1:38" ht="15" customHeight="1" x14ac:dyDescent="0.25">
      <c r="B10" s="7"/>
      <c r="C10" s="17" t="s">
        <v>28</v>
      </c>
      <c r="D10" s="39"/>
      <c r="E10" s="39"/>
      <c r="F10" s="40"/>
      <c r="G10" s="11"/>
      <c r="H10" s="41">
        <v>43.465299999999999</v>
      </c>
      <c r="I10" s="41">
        <v>89.74345454545454</v>
      </c>
      <c r="J10" s="21">
        <v>65.755041322314042</v>
      </c>
      <c r="M10" s="7"/>
      <c r="N10" s="8" t="s">
        <v>12</v>
      </c>
      <c r="O10"/>
      <c r="P10" s="36"/>
      <c r="Q10" s="35"/>
      <c r="R10"/>
      <c r="S10"/>
      <c r="T10"/>
      <c r="U10" s="105" t="s">
        <v>133</v>
      </c>
      <c r="V10" s="106" t="s">
        <v>134</v>
      </c>
      <c r="X10"/>
      <c r="Z10" s="9"/>
      <c r="AA10" s="9"/>
      <c r="AB10" s="55" t="s">
        <v>12</v>
      </c>
      <c r="AC10" s="9" t="s">
        <v>87</v>
      </c>
      <c r="AD10" s="9"/>
      <c r="AE10" s="78">
        <v>5.2999999999999999E-2</v>
      </c>
      <c r="AF10" s="79">
        <v>1</v>
      </c>
      <c r="AG10" s="81">
        <v>50</v>
      </c>
      <c r="AH10" s="81">
        <v>150</v>
      </c>
      <c r="AI10" s="86" t="s">
        <v>88</v>
      </c>
      <c r="AJ10" s="87">
        <v>43.465299999999999</v>
      </c>
      <c r="AK10" s="87">
        <v>89.74345454545454</v>
      </c>
      <c r="AL10" s="88">
        <v>65.755041322314042</v>
      </c>
    </row>
    <row r="11" spans="1:38" ht="15" customHeight="1" x14ac:dyDescent="0.25">
      <c r="B11" s="7"/>
      <c r="C11" s="13" t="s">
        <v>29</v>
      </c>
      <c r="D11" s="33"/>
      <c r="E11" s="33"/>
      <c r="F11" s="16"/>
      <c r="G11" s="14"/>
      <c r="H11" s="34">
        <v>271.04999999999995</v>
      </c>
      <c r="I11" s="34">
        <v>140.26363636363629</v>
      </c>
      <c r="J11" s="15">
        <v>99.942148760330554</v>
      </c>
      <c r="M11" s="7"/>
      <c r="N11" s="8" t="s">
        <v>12</v>
      </c>
      <c r="O11" s="35" t="s">
        <v>30</v>
      </c>
      <c r="P11" s="36">
        <f>T11+T12-T13</f>
        <v>0.99688773049794321</v>
      </c>
      <c r="Q11" s="46" t="str">
        <f>IF(P11&lt;100%,"usual","not ok")</f>
        <v>usual</v>
      </c>
      <c r="R11" s="44" t="s">
        <v>26</v>
      </c>
      <c r="S11" s="37" t="s">
        <v>31</v>
      </c>
      <c r="T11" s="47">
        <f>(SUM(H16:I16)+SUM(H17:I17))/SUM(H7:I7)</f>
        <v>0.88706099555629847</v>
      </c>
      <c r="U11" s="108">
        <f>H31</f>
        <v>-119.56223999999996</v>
      </c>
      <c r="V11" s="104">
        <f>(SUM(H16:I16)+SUM(H17:I17)-U11)/SUM(H7:I7)</f>
        <v>0.96386099555629845</v>
      </c>
      <c r="X11" s="94" t="s">
        <v>30</v>
      </c>
      <c r="Y11" s="77" t="s">
        <v>80</v>
      </c>
      <c r="Z11" s="9"/>
      <c r="AA11" s="102" t="str">
        <f>IF(Q19="not ok",V11+T12-T13,"")</f>
        <v/>
      </c>
      <c r="AB11" s="55" t="s">
        <v>12</v>
      </c>
      <c r="AC11" s="9" t="s">
        <v>89</v>
      </c>
      <c r="AD11" s="9"/>
      <c r="AE11" s="78">
        <v>0.375</v>
      </c>
      <c r="AF11" s="79">
        <v>1</v>
      </c>
      <c r="AG11" s="80">
        <v>100</v>
      </c>
      <c r="AH11" s="80">
        <v>100</v>
      </c>
      <c r="AI11" s="82" t="s">
        <v>90</v>
      </c>
      <c r="AJ11" s="95">
        <v>271.04999999999995</v>
      </c>
      <c r="AK11" s="95">
        <v>140.26363636363629</v>
      </c>
      <c r="AL11" s="96">
        <v>99.942148760330554</v>
      </c>
    </row>
    <row r="12" spans="1:38" ht="15" customHeight="1" x14ac:dyDescent="0.25">
      <c r="B12" s="7"/>
      <c r="C12" s="17" t="s">
        <v>32</v>
      </c>
      <c r="D12" s="39"/>
      <c r="E12" s="39"/>
      <c r="F12" s="40"/>
      <c r="G12" s="11"/>
      <c r="H12" s="41">
        <v>451.75</v>
      </c>
      <c r="I12" s="41">
        <v>233.7727272727272</v>
      </c>
      <c r="J12" s="21">
        <v>166.57024793388419</v>
      </c>
      <c r="M12" s="7"/>
      <c r="N12" s="8" t="s">
        <v>12</v>
      </c>
      <c r="O12" s="35" t="s">
        <v>33</v>
      </c>
      <c r="P12" s="48">
        <f>2*H10/(SUM(H19:I19)+SUM(H20:I20)-SUM(H28:I28)-H10)</f>
        <v>3.1179815596853296E-2</v>
      </c>
      <c r="Q12" s="46" t="str">
        <f>IF(AND(P12&gt;2%,P12&lt;5.5%),"usual","not ok")</f>
        <v>usual</v>
      </c>
      <c r="R12"/>
      <c r="S12" s="37" t="s">
        <v>34</v>
      </c>
      <c r="T12" s="47">
        <f>(SUM(H18:I18)-SUM(H15:I15))/SUM(H9:I9)</f>
        <v>0.19539248169489148</v>
      </c>
      <c r="U12" s="47"/>
      <c r="V12" s="38"/>
      <c r="X12" s="35" t="s">
        <v>33</v>
      </c>
      <c r="Y12" s="77" t="s">
        <v>80</v>
      </c>
      <c r="Z12" s="9"/>
      <c r="AA12" s="77" t="s">
        <v>80</v>
      </c>
      <c r="AB12" s="55" t="s">
        <v>12</v>
      </c>
      <c r="AC12" s="9" t="s">
        <v>89</v>
      </c>
      <c r="AD12" s="9"/>
      <c r="AE12" s="78">
        <v>0.625</v>
      </c>
      <c r="AF12" s="79">
        <v>1</v>
      </c>
      <c r="AG12" s="80">
        <v>100</v>
      </c>
      <c r="AH12" s="80">
        <v>100</v>
      </c>
      <c r="AI12" s="86" t="s">
        <v>91</v>
      </c>
      <c r="AJ12" s="87">
        <v>451.75</v>
      </c>
      <c r="AK12" s="87">
        <v>233.7727272727272</v>
      </c>
      <c r="AL12" s="88">
        <v>166.57024793388419</v>
      </c>
    </row>
    <row r="13" spans="1:38" ht="15" customHeight="1" x14ac:dyDescent="0.25">
      <c r="B13" s="7"/>
      <c r="C13" s="17" t="s">
        <v>35</v>
      </c>
      <c r="D13" s="39"/>
      <c r="E13" s="39"/>
      <c r="F13" s="40"/>
      <c r="G13" s="11"/>
      <c r="H13" s="41">
        <v>79.056249999999991</v>
      </c>
      <c r="I13" s="41">
        <v>40.910227272727255</v>
      </c>
      <c r="J13" s="21">
        <v>29.149793388429739</v>
      </c>
      <c r="M13" s="7"/>
      <c r="N13" s="8" t="s">
        <v>12</v>
      </c>
      <c r="O13" s="35" t="s">
        <v>36</v>
      </c>
      <c r="P13" s="48">
        <f>(H29-I29)/I29</f>
        <v>-0.17605633802816917</v>
      </c>
      <c r="Q13" s="46" t="str">
        <f>IF(AND(P13&gt;-10%,P13&lt;50%),"usual","not ok")</f>
        <v>not ok</v>
      </c>
      <c r="R13"/>
      <c r="S13" s="37" t="s">
        <v>37</v>
      </c>
      <c r="T13" s="47">
        <f>SUM(H10:I10)/SUM(H7:I7)</f>
        <v>8.5565746753246755E-2</v>
      </c>
      <c r="U13" s="47"/>
      <c r="V13" s="38"/>
      <c r="X13" s="37" t="s">
        <v>36</v>
      </c>
      <c r="Y13" s="76">
        <f>IF(Q9="ok","",(H29-T9-I29)/I29)</f>
        <v>-0.30410242786643149</v>
      </c>
      <c r="Z13" s="9"/>
      <c r="AA13" s="77" t="s">
        <v>80</v>
      </c>
      <c r="AB13" s="55" t="s">
        <v>12</v>
      </c>
      <c r="AC13" s="9" t="s">
        <v>92</v>
      </c>
      <c r="AD13" s="9"/>
      <c r="AE13" s="78">
        <v>0.17499999999999999</v>
      </c>
      <c r="AF13" s="79">
        <v>1</v>
      </c>
      <c r="AG13" s="80">
        <v>100</v>
      </c>
      <c r="AH13" s="80">
        <v>100</v>
      </c>
      <c r="AI13" s="86" t="s">
        <v>93</v>
      </c>
      <c r="AJ13" s="87">
        <v>79.056249999999991</v>
      </c>
      <c r="AK13" s="87">
        <v>40.910227272727255</v>
      </c>
      <c r="AL13" s="88">
        <v>29.149793388429739</v>
      </c>
    </row>
    <row r="14" spans="1:38" ht="15" customHeight="1" x14ac:dyDescent="0.25">
      <c r="B14" s="7"/>
      <c r="C14" s="18" t="s">
        <v>38</v>
      </c>
      <c r="D14" s="42"/>
      <c r="E14" s="42"/>
      <c r="F14" s="12"/>
      <c r="G14" s="19"/>
      <c r="H14" s="43">
        <v>47.433749999999989</v>
      </c>
      <c r="I14" s="43">
        <v>24.54613636363635</v>
      </c>
      <c r="J14" s="20">
        <v>17.489876033057843</v>
      </c>
      <c r="M14" s="7"/>
      <c r="N14" s="8" t="s">
        <v>12</v>
      </c>
      <c r="O14" s="35" t="s">
        <v>39</v>
      </c>
      <c r="P14" s="48">
        <f>(H29-I29-H30)/I29</f>
        <v>-0.17605633802816917</v>
      </c>
      <c r="Q14" s="46" t="str">
        <f>IF(AND(P14&gt;-10%,P14&lt;25%),"usual","not ok")</f>
        <v>not ok</v>
      </c>
      <c r="R14"/>
      <c r="S14"/>
      <c r="T14"/>
      <c r="U14" s="9"/>
      <c r="V14" s="38"/>
      <c r="X14" s="35" t="s">
        <v>39</v>
      </c>
      <c r="Y14" s="77" t="s">
        <v>80</v>
      </c>
      <c r="Z14" s="9"/>
      <c r="AA14" s="77" t="s">
        <v>80</v>
      </c>
      <c r="AB14" s="55" t="s">
        <v>12</v>
      </c>
      <c r="AC14" s="9" t="s">
        <v>94</v>
      </c>
      <c r="AD14" s="9"/>
      <c r="AE14" s="78">
        <v>0.625</v>
      </c>
      <c r="AF14" s="79">
        <v>1</v>
      </c>
      <c r="AG14" s="80">
        <v>100</v>
      </c>
      <c r="AH14" s="80">
        <v>100</v>
      </c>
      <c r="AI14" s="90" t="s">
        <v>95</v>
      </c>
      <c r="AJ14" s="92">
        <v>47.433749999999989</v>
      </c>
      <c r="AK14" s="92">
        <v>24.54613636363635</v>
      </c>
      <c r="AL14" s="93">
        <v>17.489876033057843</v>
      </c>
    </row>
    <row r="15" spans="1:38" ht="15" customHeight="1" x14ac:dyDescent="0.25">
      <c r="B15" s="7"/>
      <c r="C15" s="17" t="s">
        <v>40</v>
      </c>
      <c r="D15" s="39"/>
      <c r="E15" s="39"/>
      <c r="F15" s="40"/>
      <c r="G15" s="11"/>
      <c r="H15" s="41">
        <v>23.606873735999997</v>
      </c>
      <c r="I15" s="41">
        <v>47.693261483636363</v>
      </c>
      <c r="J15" s="21">
        <v>31.87278362975206</v>
      </c>
      <c r="M15" s="7"/>
      <c r="N15" s="8" t="s">
        <v>12</v>
      </c>
      <c r="O15"/>
      <c r="P15" s="36"/>
      <c r="Q15" s="35"/>
      <c r="R15"/>
      <c r="S15"/>
      <c r="T15"/>
      <c r="U15" s="9"/>
      <c r="V15" s="47"/>
      <c r="X15"/>
      <c r="Z15" s="9"/>
      <c r="AA15" s="9"/>
      <c r="AB15" s="55" t="s">
        <v>12</v>
      </c>
      <c r="AC15" s="9" t="s">
        <v>96</v>
      </c>
      <c r="AD15" s="9"/>
      <c r="AE15" s="78">
        <v>0.58399999999999996</v>
      </c>
      <c r="AF15" s="79">
        <v>1</v>
      </c>
      <c r="AG15" s="81">
        <v>80</v>
      </c>
      <c r="AH15" s="80">
        <v>100</v>
      </c>
      <c r="AI15" s="86" t="s">
        <v>97</v>
      </c>
      <c r="AJ15" s="87">
        <v>23.606873735999997</v>
      </c>
      <c r="AK15" s="87">
        <v>47.693261483636363</v>
      </c>
      <c r="AL15" s="88">
        <v>31.87278362975206</v>
      </c>
    </row>
    <row r="16" spans="1:38" ht="15" customHeight="1" x14ac:dyDescent="0.25">
      <c r="B16" s="7"/>
      <c r="C16" s="13" t="s">
        <v>41</v>
      </c>
      <c r="D16" s="33"/>
      <c r="E16" s="33"/>
      <c r="F16" s="16"/>
      <c r="G16" s="14"/>
      <c r="H16" s="34">
        <v>600.48</v>
      </c>
      <c r="I16" s="34">
        <v>756.16</v>
      </c>
      <c r="J16" s="15">
        <v>705.79834710743808</v>
      </c>
      <c r="M16" s="7"/>
      <c r="N16" s="8" t="s">
        <v>12</v>
      </c>
      <c r="O16" s="35" t="s">
        <v>42</v>
      </c>
      <c r="P16" s="36">
        <f>(H24-H23)/H21</f>
        <v>0.6154332079021636</v>
      </c>
      <c r="Q16" s="46" t="str">
        <f>IF(P16&lt;100%,"usual","not ok")</f>
        <v>usual</v>
      </c>
      <c r="R16"/>
      <c r="S16"/>
      <c r="T16"/>
      <c r="U16" s="9"/>
      <c r="V16" s="38"/>
      <c r="X16" s="35" t="s">
        <v>42</v>
      </c>
      <c r="Y16" s="77" t="s">
        <v>80</v>
      </c>
      <c r="Z16" s="9"/>
      <c r="AA16" s="77" t="s">
        <v>80</v>
      </c>
      <c r="AB16" s="55" t="s">
        <v>12</v>
      </c>
      <c r="AC16" s="9" t="s">
        <v>98</v>
      </c>
      <c r="AD16" s="9"/>
      <c r="AE16" s="78">
        <v>0.9</v>
      </c>
      <c r="AF16" s="79">
        <v>1</v>
      </c>
      <c r="AG16" s="80">
        <v>100</v>
      </c>
      <c r="AH16" s="80">
        <v>100</v>
      </c>
      <c r="AI16" s="82" t="s">
        <v>99</v>
      </c>
      <c r="AJ16" s="95">
        <v>600.48</v>
      </c>
      <c r="AK16" s="84">
        <v>756.16</v>
      </c>
      <c r="AL16" s="96">
        <v>705.79834710743808</v>
      </c>
    </row>
    <row r="17" spans="1:38" ht="15" customHeight="1" x14ac:dyDescent="0.25">
      <c r="B17" s="7"/>
      <c r="C17" s="17" t="s">
        <v>43</v>
      </c>
      <c r="D17" s="39"/>
      <c r="E17" s="39"/>
      <c r="F17" s="40"/>
      <c r="G17" s="11"/>
      <c r="H17" s="41">
        <v>7.9815886745839988</v>
      </c>
      <c r="I17" s="41">
        <v>16.354969207461817</v>
      </c>
      <c r="J17" s="21">
        <v>11.617711169295866</v>
      </c>
      <c r="M17" s="7"/>
      <c r="N17" s="8" t="s">
        <v>12</v>
      </c>
      <c r="O17" s="35" t="s">
        <v>44</v>
      </c>
      <c r="P17" s="36">
        <f>H22/H29</f>
        <v>0.43035608892386384</v>
      </c>
      <c r="Q17" s="46" t="str">
        <f>IF(P17&lt;40%,"usual","not ok")</f>
        <v>not ok</v>
      </c>
      <c r="R17"/>
      <c r="S17"/>
      <c r="T17"/>
      <c r="U17" s="9"/>
      <c r="V17" s="38"/>
      <c r="X17" s="37" t="s">
        <v>44</v>
      </c>
      <c r="Y17" s="76">
        <f>IF(Q9="ok","",H22/(H29-T9))</f>
        <v>0.5095421884756115</v>
      </c>
      <c r="Z17" s="9"/>
      <c r="AA17" s="77" t="s">
        <v>80</v>
      </c>
      <c r="AB17" s="55" t="s">
        <v>12</v>
      </c>
      <c r="AC17" s="7" t="s">
        <v>100</v>
      </c>
      <c r="AD17" s="9"/>
      <c r="AE17" s="48">
        <v>0.11899999999999999</v>
      </c>
      <c r="AF17" s="79">
        <v>1</v>
      </c>
      <c r="AG17" s="80">
        <v>100</v>
      </c>
      <c r="AH17" s="80">
        <v>100</v>
      </c>
      <c r="AI17" s="86" t="s">
        <v>101</v>
      </c>
      <c r="AJ17" s="87">
        <v>7.9815886745839988</v>
      </c>
      <c r="AK17" s="87">
        <v>16.354969207461817</v>
      </c>
      <c r="AL17" s="88">
        <v>11.617711169295866</v>
      </c>
    </row>
    <row r="18" spans="1:38" ht="15" customHeight="1" x14ac:dyDescent="0.25">
      <c r="B18" s="7"/>
      <c r="C18" s="17" t="s">
        <v>45</v>
      </c>
      <c r="D18" s="39"/>
      <c r="E18" s="39"/>
      <c r="F18" s="40"/>
      <c r="G18" s="11"/>
      <c r="H18" s="41">
        <v>192.86250000000001</v>
      </c>
      <c r="I18" s="41">
        <v>159.53409090909091</v>
      </c>
      <c r="J18" s="21">
        <v>168.00619834710739</v>
      </c>
      <c r="M18" s="7"/>
      <c r="N18" s="8" t="s">
        <v>12</v>
      </c>
      <c r="O18"/>
      <c r="P18" s="36"/>
      <c r="Q18" s="35"/>
      <c r="R18"/>
      <c r="S18"/>
      <c r="T18"/>
      <c r="U18" s="9"/>
      <c r="V18" s="38"/>
      <c r="X18"/>
      <c r="Z18" s="9"/>
      <c r="AA18" s="9"/>
      <c r="AB18" s="55" t="s">
        <v>12</v>
      </c>
      <c r="AC18" s="7" t="s">
        <v>102</v>
      </c>
      <c r="AD18" s="9"/>
      <c r="AE18" s="48">
        <v>0.125</v>
      </c>
      <c r="AF18" s="79">
        <v>1</v>
      </c>
      <c r="AG18" s="80">
        <v>100</v>
      </c>
      <c r="AH18" s="81">
        <v>120</v>
      </c>
      <c r="AI18" s="86" t="s">
        <v>103</v>
      </c>
      <c r="AJ18" s="87">
        <v>192.86250000000001</v>
      </c>
      <c r="AK18" s="87">
        <v>159.53409090909091</v>
      </c>
      <c r="AL18" s="88">
        <v>168.00619834710739</v>
      </c>
    </row>
    <row r="19" spans="1:38" ht="15" customHeight="1" x14ac:dyDescent="0.25">
      <c r="B19" s="7"/>
      <c r="C19" s="17" t="s">
        <v>46</v>
      </c>
      <c r="D19" s="39"/>
      <c r="E19" s="39"/>
      <c r="F19" s="40"/>
      <c r="G19" s="11"/>
      <c r="H19" s="41">
        <v>1477.57</v>
      </c>
      <c r="I19" s="41">
        <v>1343.2454545454543</v>
      </c>
      <c r="J19" s="21">
        <v>1221.1322314049582</v>
      </c>
      <c r="M19" s="7"/>
      <c r="N19" s="8" t="s">
        <v>12</v>
      </c>
      <c r="O19" s="35" t="s">
        <v>47</v>
      </c>
      <c r="P19" s="49">
        <f>H31/I29</f>
        <v>-0.48413241597925122</v>
      </c>
      <c r="Q19" s="46" t="str">
        <f>IF(P19&lt;20%,"usual","not ok")</f>
        <v>usual</v>
      </c>
      <c r="R19"/>
      <c r="S19"/>
      <c r="T19"/>
      <c r="U19" s="9"/>
      <c r="V19" s="38"/>
      <c r="X19" s="35" t="s">
        <v>47</v>
      </c>
      <c r="Y19" s="77" t="s">
        <v>80</v>
      </c>
      <c r="Z19" s="9"/>
      <c r="AA19" s="77" t="s">
        <v>80</v>
      </c>
      <c r="AB19" s="55" t="s">
        <v>12</v>
      </c>
      <c r="AC19" s="7" t="s">
        <v>104</v>
      </c>
      <c r="AD19" s="9"/>
      <c r="AE19" s="48">
        <v>1.0629999999999999</v>
      </c>
      <c r="AF19" s="79">
        <v>1</v>
      </c>
      <c r="AG19" s="80">
        <v>100</v>
      </c>
      <c r="AH19" s="80">
        <v>100</v>
      </c>
      <c r="AI19" s="86" t="s">
        <v>105</v>
      </c>
      <c r="AJ19" s="87">
        <v>1477.57</v>
      </c>
      <c r="AK19" s="87">
        <v>1343.2454545454543</v>
      </c>
      <c r="AL19" s="88">
        <v>1221.1322314049582</v>
      </c>
    </row>
    <row r="20" spans="1:38" ht="15" customHeight="1" x14ac:dyDescent="0.25">
      <c r="B20" s="7"/>
      <c r="C20" s="17" t="s">
        <v>48</v>
      </c>
      <c r="D20" s="39"/>
      <c r="E20" s="39"/>
      <c r="F20" s="40"/>
      <c r="G20" s="11"/>
      <c r="H20" s="41">
        <v>3.9907943372919994</v>
      </c>
      <c r="I20" s="41">
        <v>8.1774846037309086</v>
      </c>
      <c r="J20" s="21">
        <v>5.8088555846479331</v>
      </c>
      <c r="M20" s="7"/>
      <c r="N20" s="8" t="s">
        <v>12</v>
      </c>
      <c r="O20" s="35" t="s">
        <v>49</v>
      </c>
      <c r="P20" s="49">
        <f>H32/J29</f>
        <v>-0.20130125628846871</v>
      </c>
      <c r="Q20" s="46" t="str">
        <f>IF(P20&lt;20%,"usual","not ok")</f>
        <v>usual</v>
      </c>
      <c r="R20"/>
      <c r="S20"/>
      <c r="T20"/>
      <c r="U20" s="9"/>
      <c r="V20" s="38"/>
      <c r="X20" s="35" t="s">
        <v>49</v>
      </c>
      <c r="Y20" s="77" t="s">
        <v>80</v>
      </c>
      <c r="Z20" s="9"/>
      <c r="AA20" s="77" t="s">
        <v>80</v>
      </c>
      <c r="AB20" s="55" t="s">
        <v>12</v>
      </c>
      <c r="AC20" s="7" t="s">
        <v>106</v>
      </c>
      <c r="AD20" s="9"/>
      <c r="AE20" s="48">
        <v>0.5</v>
      </c>
      <c r="AF20" s="79">
        <v>1</v>
      </c>
      <c r="AG20" s="80">
        <v>100</v>
      </c>
      <c r="AH20" s="80">
        <v>100</v>
      </c>
      <c r="AI20" s="86" t="s">
        <v>107</v>
      </c>
      <c r="AJ20" s="87">
        <v>3.9907943372919994</v>
      </c>
      <c r="AK20" s="87">
        <v>8.1774846037309086</v>
      </c>
      <c r="AL20" s="88">
        <v>5.8088555846479331</v>
      </c>
    </row>
    <row r="21" spans="1:38" ht="15" customHeight="1" x14ac:dyDescent="0.25">
      <c r="B21" s="7"/>
      <c r="C21" s="17" t="s">
        <v>50</v>
      </c>
      <c r="D21" s="39"/>
      <c r="E21" s="39"/>
      <c r="F21" s="40"/>
      <c r="G21" s="11"/>
      <c r="H21" s="41">
        <v>2955.14</v>
      </c>
      <c r="I21" s="41">
        <v>2686.4909090909086</v>
      </c>
      <c r="J21" s="21">
        <v>2442.2644628099165</v>
      </c>
      <c r="M21" s="7"/>
      <c r="N21" s="8" t="s">
        <v>12</v>
      </c>
      <c r="O21" s="35" t="s">
        <v>51</v>
      </c>
      <c r="P21" s="36">
        <f>T21/H29</f>
        <v>-0.33776805036395829</v>
      </c>
      <c r="Q21" s="46" t="str">
        <f>IF(P21&lt;25%,"usual","not ok")</f>
        <v>usual</v>
      </c>
      <c r="R21" s="44" t="s">
        <v>26</v>
      </c>
      <c r="S21" s="37" t="s">
        <v>52</v>
      </c>
      <c r="T21" s="51">
        <f>T22-H27</f>
        <v>-68.729939999999999</v>
      </c>
      <c r="U21" s="9"/>
      <c r="V21" s="38"/>
      <c r="X21" s="37" t="s">
        <v>51</v>
      </c>
      <c r="Y21" s="76">
        <f>IF(Q9="ok","",T21/(H29-T9))</f>
        <v>-0.39991782621214428</v>
      </c>
      <c r="Z21" s="9"/>
      <c r="AA21" s="77" t="s">
        <v>80</v>
      </c>
      <c r="AB21" s="55" t="s">
        <v>12</v>
      </c>
      <c r="AC21" s="7" t="s">
        <v>108</v>
      </c>
      <c r="AD21" s="9"/>
      <c r="AE21" s="48">
        <v>2</v>
      </c>
      <c r="AF21" s="79">
        <v>1</v>
      </c>
      <c r="AG21" s="80">
        <v>100</v>
      </c>
      <c r="AH21" s="80">
        <v>100</v>
      </c>
      <c r="AI21" s="86" t="s">
        <v>109</v>
      </c>
      <c r="AJ21" s="87">
        <v>2955.14</v>
      </c>
      <c r="AK21" s="87">
        <v>2686.4909090909086</v>
      </c>
      <c r="AL21" s="88">
        <v>2442.2644628099165</v>
      </c>
    </row>
    <row r="22" spans="1:38" ht="15" customHeight="1" x14ac:dyDescent="0.25">
      <c r="B22" s="7"/>
      <c r="C22" s="17" t="s">
        <v>53</v>
      </c>
      <c r="D22" s="39"/>
      <c r="E22" s="39"/>
      <c r="F22" s="40"/>
      <c r="G22" s="11"/>
      <c r="H22" s="41">
        <v>87.57</v>
      </c>
      <c r="I22" s="41">
        <v>0</v>
      </c>
      <c r="J22" s="21">
        <v>0</v>
      </c>
      <c r="M22" s="7"/>
      <c r="N22" s="8" t="s">
        <v>12</v>
      </c>
      <c r="O22"/>
      <c r="P22"/>
      <c r="Q22"/>
      <c r="R22"/>
      <c r="S22" s="37" t="s">
        <v>54</v>
      </c>
      <c r="T22" s="51">
        <f>T23*H7</f>
        <v>139.77006</v>
      </c>
      <c r="U22" s="9"/>
      <c r="V22" s="9"/>
      <c r="X22" s="50"/>
      <c r="Y22" s="50"/>
      <c r="Z22" s="9"/>
      <c r="AA22" s="9"/>
      <c r="AB22" s="55" t="s">
        <v>12</v>
      </c>
      <c r="AC22" s="7" t="s">
        <v>110</v>
      </c>
      <c r="AD22" s="9"/>
      <c r="AE22" s="48">
        <v>6.3E-2</v>
      </c>
      <c r="AF22" s="79">
        <v>1</v>
      </c>
      <c r="AG22" s="80">
        <v>100</v>
      </c>
      <c r="AH22" s="80">
        <v>100</v>
      </c>
      <c r="AI22" s="86" t="s">
        <v>111</v>
      </c>
      <c r="AJ22" s="87">
        <v>87.57</v>
      </c>
      <c r="AK22" s="87"/>
      <c r="AL22" s="88"/>
    </row>
    <row r="23" spans="1:38" ht="15" customHeight="1" x14ac:dyDescent="0.25">
      <c r="B23" s="7"/>
      <c r="C23" s="18" t="s">
        <v>55</v>
      </c>
      <c r="D23" s="42"/>
      <c r="E23" s="42"/>
      <c r="F23" s="12"/>
      <c r="G23" s="19"/>
      <c r="H23" s="43">
        <v>20.883360000000003</v>
      </c>
      <c r="I23" s="43">
        <v>0</v>
      </c>
      <c r="J23" s="20">
        <v>0</v>
      </c>
      <c r="M23" s="7"/>
      <c r="N23" s="8" t="s">
        <v>12</v>
      </c>
      <c r="O23"/>
      <c r="P23"/>
      <c r="Q23"/>
      <c r="R23"/>
      <c r="S23" s="37" t="s">
        <v>56</v>
      </c>
      <c r="T23" s="52">
        <f>AVERAGE(W23,W24)</f>
        <v>0.20948749999999999</v>
      </c>
      <c r="U23" s="44" t="s">
        <v>26</v>
      </c>
      <c r="V23" s="53" t="s">
        <v>57</v>
      </c>
      <c r="W23" s="50">
        <f>(I27+H31)/I7</f>
        <v>0.17810000000000004</v>
      </c>
      <c r="X23" s="50"/>
      <c r="Y23" s="50"/>
      <c r="Z23" s="9"/>
      <c r="AA23" s="9"/>
      <c r="AB23" s="55" t="s">
        <v>12</v>
      </c>
      <c r="AC23" s="7" t="s">
        <v>112</v>
      </c>
      <c r="AD23" s="9"/>
      <c r="AE23" s="48">
        <v>3.1300000000000001E-2</v>
      </c>
      <c r="AF23" s="79">
        <v>1</v>
      </c>
      <c r="AG23" s="80">
        <v>100</v>
      </c>
      <c r="AH23" s="80">
        <v>100</v>
      </c>
      <c r="AI23" s="90" t="s">
        <v>113</v>
      </c>
      <c r="AJ23" s="92">
        <v>20.883360000000003</v>
      </c>
      <c r="AK23" s="92"/>
      <c r="AL23" s="93"/>
    </row>
    <row r="24" spans="1:38" ht="15" customHeight="1" x14ac:dyDescent="0.25">
      <c r="B24" s="7"/>
      <c r="C24" s="17" t="s">
        <v>58</v>
      </c>
      <c r="D24" s="39"/>
      <c r="E24" s="39"/>
      <c r="F24" s="40"/>
      <c r="G24" s="11"/>
      <c r="H24" s="41">
        <v>1839.5746499999996</v>
      </c>
      <c r="I24" s="41">
        <v>1382.4682218181815</v>
      </c>
      <c r="J24" s="21">
        <v>2736.5573305785115</v>
      </c>
      <c r="M24" s="7"/>
      <c r="N24" s="8" t="s">
        <v>12</v>
      </c>
      <c r="O24" s="7"/>
      <c r="P24" s="7"/>
      <c r="Q24" s="7"/>
      <c r="R24" s="7"/>
      <c r="S24" s="7"/>
      <c r="T24" s="7"/>
      <c r="U24"/>
      <c r="V24" s="53" t="s">
        <v>59</v>
      </c>
      <c r="W24" s="50">
        <f>(J27+H32)/J7</f>
        <v>0.24087499999999998</v>
      </c>
      <c r="X24" s="9"/>
      <c r="Y24" s="9"/>
      <c r="Z24" s="9"/>
      <c r="AA24" s="9"/>
      <c r="AB24" s="55" t="s">
        <v>12</v>
      </c>
      <c r="AC24" s="7" t="s">
        <v>114</v>
      </c>
      <c r="AD24" s="9"/>
      <c r="AE24" s="48">
        <v>0.83</v>
      </c>
      <c r="AF24" s="79">
        <v>1</v>
      </c>
      <c r="AG24" s="81">
        <v>50</v>
      </c>
      <c r="AH24" s="81">
        <v>150</v>
      </c>
      <c r="AI24" s="86" t="s">
        <v>115</v>
      </c>
      <c r="AJ24" s="87">
        <v>1839.5746499999996</v>
      </c>
      <c r="AK24" s="87">
        <v>1382.4682218181815</v>
      </c>
      <c r="AL24" s="88">
        <v>2736.5573305785115</v>
      </c>
    </row>
    <row r="25" spans="1:38" ht="15" customHeight="1" x14ac:dyDescent="0.25">
      <c r="B25" s="7"/>
      <c r="C25" s="13" t="s">
        <v>60</v>
      </c>
      <c r="D25" s="33"/>
      <c r="E25" s="33"/>
      <c r="F25" s="16"/>
      <c r="G25" s="14"/>
      <c r="H25" s="34">
        <v>135.52499999999998</v>
      </c>
      <c r="I25" s="34">
        <v>0</v>
      </c>
      <c r="J25" s="15">
        <v>0</v>
      </c>
      <c r="M25" s="7"/>
      <c r="N25" s="8" t="s">
        <v>12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55" t="s">
        <v>12</v>
      </c>
      <c r="AC25" s="7" t="s">
        <v>116</v>
      </c>
      <c r="AD25" s="9"/>
      <c r="AE25" s="48">
        <v>0.5</v>
      </c>
      <c r="AF25" s="79">
        <v>1</v>
      </c>
      <c r="AG25" s="80">
        <v>100</v>
      </c>
      <c r="AH25" s="80">
        <v>100</v>
      </c>
      <c r="AI25" s="82" t="s">
        <v>117</v>
      </c>
      <c r="AJ25" s="95">
        <v>135.52499999999998</v>
      </c>
      <c r="AK25" s="95"/>
      <c r="AL25" s="96"/>
    </row>
    <row r="26" spans="1:38" ht="15" customHeight="1" x14ac:dyDescent="0.25">
      <c r="B26" s="7"/>
      <c r="C26" s="17" t="s">
        <v>61</v>
      </c>
      <c r="D26" s="39"/>
      <c r="E26" s="39"/>
      <c r="F26" s="40"/>
      <c r="G26" s="11"/>
      <c r="H26" s="41">
        <v>180.7</v>
      </c>
      <c r="I26" s="41">
        <v>0</v>
      </c>
      <c r="J26" s="21">
        <v>0</v>
      </c>
      <c r="M26" s="7"/>
      <c r="N26" s="8" t="s">
        <v>12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55" t="s">
        <v>12</v>
      </c>
      <c r="AC26" s="7" t="s">
        <v>118</v>
      </c>
      <c r="AD26" s="9"/>
      <c r="AE26" s="48">
        <v>0.4</v>
      </c>
      <c r="AF26" s="79">
        <v>1</v>
      </c>
      <c r="AG26" s="80">
        <v>100</v>
      </c>
      <c r="AH26" s="80">
        <v>100</v>
      </c>
      <c r="AI26" s="90" t="s">
        <v>119</v>
      </c>
      <c r="AJ26" s="92">
        <v>180.7</v>
      </c>
      <c r="AK26" s="92"/>
      <c r="AL26" s="93"/>
    </row>
    <row r="27" spans="1:38" ht="15" customHeight="1" x14ac:dyDescent="0.25">
      <c r="B27" s="7"/>
      <c r="C27" s="13" t="s">
        <v>62</v>
      </c>
      <c r="D27" s="33"/>
      <c r="E27" s="33"/>
      <c r="F27" s="16"/>
      <c r="G27" s="14"/>
      <c r="H27" s="34">
        <v>208.5</v>
      </c>
      <c r="I27" s="34">
        <v>278</v>
      </c>
      <c r="J27" s="15">
        <v>275.70247933884292</v>
      </c>
      <c r="M27" s="7"/>
      <c r="N27" s="8" t="s">
        <v>12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55" t="s">
        <v>12</v>
      </c>
      <c r="AC27" s="7" t="s">
        <v>120</v>
      </c>
      <c r="AD27" s="9"/>
      <c r="AE27" s="48">
        <v>0.625</v>
      </c>
      <c r="AF27" s="79">
        <v>0.5</v>
      </c>
      <c r="AG27" s="80">
        <v>100</v>
      </c>
      <c r="AH27" s="80">
        <v>100</v>
      </c>
      <c r="AI27" s="86" t="s">
        <v>121</v>
      </c>
      <c r="AJ27" s="87">
        <v>208.5</v>
      </c>
      <c r="AK27" s="87">
        <v>278</v>
      </c>
      <c r="AL27" s="88">
        <v>275.70247933884292</v>
      </c>
    </row>
    <row r="28" spans="1:38" ht="15" customHeight="1" x14ac:dyDescent="0.25">
      <c r="B28" s="7"/>
      <c r="C28" s="17" t="s">
        <v>63</v>
      </c>
      <c r="D28" s="39"/>
      <c r="E28" s="39"/>
      <c r="F28" s="40"/>
      <c r="G28" s="11"/>
      <c r="H28" s="41">
        <v>1.4775700000000001</v>
      </c>
      <c r="I28" s="41">
        <v>0</v>
      </c>
      <c r="J28" s="21">
        <v>0</v>
      </c>
      <c r="M28" s="7"/>
      <c r="N28" s="8" t="s">
        <v>12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55" t="s">
        <v>12</v>
      </c>
      <c r="AC28" s="7" t="s">
        <v>122</v>
      </c>
      <c r="AD28" s="9"/>
      <c r="AE28" s="48">
        <v>1E-3</v>
      </c>
      <c r="AF28" s="79">
        <v>1</v>
      </c>
      <c r="AG28" s="80">
        <v>100</v>
      </c>
      <c r="AH28" s="80">
        <v>100</v>
      </c>
      <c r="AI28" s="86" t="s">
        <v>123</v>
      </c>
      <c r="AJ28" s="87">
        <v>1.4775700000000001</v>
      </c>
      <c r="AK28" s="87"/>
      <c r="AL28" s="88"/>
    </row>
    <row r="29" spans="1:38" ht="15" customHeight="1" x14ac:dyDescent="0.25">
      <c r="A29" s="9"/>
      <c r="B29" s="7"/>
      <c r="C29" s="17" t="s">
        <v>65</v>
      </c>
      <c r="D29" s="39"/>
      <c r="E29" s="39"/>
      <c r="F29" s="40"/>
      <c r="G29" s="11"/>
      <c r="H29" s="41">
        <v>203.48265599999999</v>
      </c>
      <c r="I29" s="41">
        <v>246.96185600000004</v>
      </c>
      <c r="J29" s="21">
        <v>313.91263735537183</v>
      </c>
      <c r="M29" s="7"/>
      <c r="N29" s="8" t="s">
        <v>12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55" t="s">
        <v>12</v>
      </c>
      <c r="AC29" s="7" t="s">
        <v>124</v>
      </c>
      <c r="AD29" s="9"/>
      <c r="AE29" s="48">
        <v>0.39100000000000001</v>
      </c>
      <c r="AF29" s="79">
        <v>1</v>
      </c>
      <c r="AG29" s="81">
        <v>60</v>
      </c>
      <c r="AH29" s="80">
        <v>100</v>
      </c>
      <c r="AI29" s="86" t="s">
        <v>125</v>
      </c>
      <c r="AJ29" s="87">
        <v>203.48265599999999</v>
      </c>
      <c r="AK29" s="87">
        <v>246.96185600000004</v>
      </c>
      <c r="AL29" s="88">
        <v>313.91263735537183</v>
      </c>
    </row>
    <row r="30" spans="1:38" ht="15" customHeight="1" x14ac:dyDescent="0.25">
      <c r="B30" s="7"/>
      <c r="C30" s="18" t="s">
        <v>64</v>
      </c>
      <c r="D30" s="42"/>
      <c r="E30" s="42"/>
      <c r="F30" s="12"/>
      <c r="G30" s="19"/>
      <c r="H30" s="43">
        <v>0</v>
      </c>
      <c r="I30" s="43">
        <v>0</v>
      </c>
      <c r="J30" s="20">
        <v>0</v>
      </c>
      <c r="M30" s="7"/>
      <c r="N30" s="8" t="s">
        <v>12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55" t="s">
        <v>12</v>
      </c>
      <c r="AC30" s="7" t="s">
        <v>126</v>
      </c>
      <c r="AD30" s="9"/>
      <c r="AE30" s="48">
        <v>0.46153846153846156</v>
      </c>
      <c r="AF30" s="79">
        <v>1</v>
      </c>
      <c r="AG30" s="80">
        <v>100</v>
      </c>
      <c r="AH30" s="80">
        <v>100</v>
      </c>
      <c r="AI30" s="86" t="s">
        <v>127</v>
      </c>
      <c r="AJ30" s="89">
        <v>0</v>
      </c>
      <c r="AK30" s="89">
        <v>0</v>
      </c>
      <c r="AL30" s="88"/>
    </row>
    <row r="31" spans="1:38" ht="15" customHeight="1" x14ac:dyDescent="0.25">
      <c r="A31" s="9"/>
      <c r="B31" s="7"/>
      <c r="C31" s="13" t="s">
        <v>66</v>
      </c>
      <c r="D31" s="33"/>
      <c r="E31" s="33"/>
      <c r="F31" s="16"/>
      <c r="G31" s="14"/>
      <c r="H31" s="34">
        <v>-119.56223999999996</v>
      </c>
      <c r="I31" s="34">
        <v>37.469069752066048</v>
      </c>
      <c r="J31" s="15">
        <v>0</v>
      </c>
      <c r="M31" s="7"/>
      <c r="N31" s="8" t="s">
        <v>12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55" t="s">
        <v>12</v>
      </c>
      <c r="AC31" s="7" t="s">
        <v>128</v>
      </c>
      <c r="AD31" s="9"/>
      <c r="AE31" s="48">
        <v>0.8</v>
      </c>
      <c r="AF31" s="79">
        <v>1</v>
      </c>
      <c r="AG31" s="81">
        <v>90</v>
      </c>
      <c r="AH31" s="80">
        <v>100</v>
      </c>
      <c r="AI31" s="82" t="s">
        <v>129</v>
      </c>
      <c r="AJ31" s="95">
        <v>-119.56223999999996</v>
      </c>
      <c r="AK31" s="95">
        <v>37.469069752066048</v>
      </c>
      <c r="AL31" s="96"/>
    </row>
    <row r="32" spans="1:38" ht="15" customHeight="1" x14ac:dyDescent="0.25">
      <c r="A32" s="9"/>
      <c r="B32" s="7"/>
      <c r="C32" s="18" t="s">
        <v>67</v>
      </c>
      <c r="D32" s="42"/>
      <c r="E32" s="42"/>
      <c r="F32" s="12"/>
      <c r="G32" s="19"/>
      <c r="H32" s="43">
        <v>-63.191008264462837</v>
      </c>
      <c r="I32" s="43">
        <v>0</v>
      </c>
      <c r="J32" s="20">
        <v>0</v>
      </c>
      <c r="M32" s="7"/>
      <c r="N32" s="8" t="s">
        <v>12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55" t="s">
        <v>12</v>
      </c>
      <c r="AC32" s="7" t="s">
        <v>130</v>
      </c>
      <c r="AD32" s="9"/>
      <c r="AE32" s="48">
        <v>0.6</v>
      </c>
      <c r="AF32" s="79">
        <v>1</v>
      </c>
      <c r="AG32" s="80">
        <v>100</v>
      </c>
      <c r="AH32" s="80">
        <v>100</v>
      </c>
      <c r="AI32" s="90" t="s">
        <v>131</v>
      </c>
      <c r="AJ32" s="92">
        <v>-63.191008264462837</v>
      </c>
      <c r="AK32" s="97"/>
      <c r="AL32" s="98"/>
    </row>
    <row r="33" spans="1:28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8" t="s">
        <v>12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55" t="s">
        <v>12</v>
      </c>
    </row>
    <row r="34" spans="1:28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 t="s">
        <v>12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55" t="s">
        <v>12</v>
      </c>
    </row>
    <row r="35" spans="1:28" ht="15" customHeight="1" x14ac:dyDescent="0.25">
      <c r="A35" s="56" t="s">
        <v>69</v>
      </c>
      <c r="B35" s="9"/>
      <c r="C35" s="9" t="s">
        <v>132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8" t="s">
        <v>12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55" t="s">
        <v>12</v>
      </c>
    </row>
    <row r="36" spans="1:28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12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55" t="s">
        <v>12</v>
      </c>
    </row>
    <row r="37" spans="1:28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12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55" t="s">
        <v>12</v>
      </c>
    </row>
    <row r="38" spans="1:28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 t="s">
        <v>12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55" t="s">
        <v>12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12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55" t="s">
        <v>12</v>
      </c>
    </row>
    <row r="40" spans="1:28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12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55" t="s">
        <v>12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12</v>
      </c>
      <c r="AB41" s="55" t="s">
        <v>12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12</v>
      </c>
      <c r="AB42" s="55" t="s">
        <v>12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12</v>
      </c>
      <c r="AB43" s="55" t="s">
        <v>12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12</v>
      </c>
      <c r="AB44" s="55" t="s">
        <v>12</v>
      </c>
    </row>
    <row r="45" spans="1:28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12</v>
      </c>
      <c r="AB45" s="55" t="s">
        <v>12</v>
      </c>
    </row>
    <row r="46" spans="1:28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12</v>
      </c>
      <c r="AB46" s="55" t="s">
        <v>12</v>
      </c>
    </row>
    <row r="47" spans="1:28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12</v>
      </c>
      <c r="AB47" s="55" t="s">
        <v>12</v>
      </c>
    </row>
    <row r="48" spans="1:28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12</v>
      </c>
      <c r="AB48" s="55" t="s">
        <v>12</v>
      </c>
    </row>
    <row r="49" spans="1:28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12</v>
      </c>
      <c r="AB49" s="55" t="s">
        <v>12</v>
      </c>
    </row>
    <row r="50" spans="1:28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12</v>
      </c>
      <c r="AB50" s="55" t="s">
        <v>12</v>
      </c>
    </row>
    <row r="51" spans="1:28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12</v>
      </c>
      <c r="AB51" s="55" t="s">
        <v>12</v>
      </c>
    </row>
    <row r="52" spans="1:28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12</v>
      </c>
      <c r="AB52" s="55" t="s">
        <v>12</v>
      </c>
    </row>
    <row r="53" spans="1:28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12</v>
      </c>
      <c r="AB53" s="55" t="s">
        <v>12</v>
      </c>
    </row>
    <row r="54" spans="1:28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12</v>
      </c>
      <c r="AB54" s="55" t="s">
        <v>12</v>
      </c>
    </row>
    <row r="55" spans="1:28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12</v>
      </c>
      <c r="AB55" s="55" t="s">
        <v>12</v>
      </c>
    </row>
    <row r="56" spans="1:28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12</v>
      </c>
      <c r="AB56" s="55" t="s">
        <v>12</v>
      </c>
    </row>
    <row r="57" spans="1:28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12</v>
      </c>
      <c r="AB57" s="55" t="s">
        <v>12</v>
      </c>
    </row>
    <row r="58" spans="1:28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12</v>
      </c>
      <c r="AB58" s="55" t="s">
        <v>12</v>
      </c>
    </row>
    <row r="59" spans="1:28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12</v>
      </c>
      <c r="AB59" s="55" t="s">
        <v>12</v>
      </c>
    </row>
  </sheetData>
  <conditionalFormatting sqref="AF6:AF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11</v>
      </c>
      <c r="M1" s="25" t="s">
        <v>10</v>
      </c>
      <c r="N1" s="8" t="s">
        <v>12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55" t="s">
        <v>12</v>
      </c>
      <c r="AC1" s="56" t="s">
        <v>70</v>
      </c>
      <c r="AD1" s="9"/>
      <c r="AE1" s="9"/>
      <c r="AF1" s="9"/>
    </row>
    <row r="2" spans="1:40" ht="15" customHeight="1" x14ac:dyDescent="0.25">
      <c r="A2" s="5" t="s">
        <v>4</v>
      </c>
      <c r="C2" s="26" t="s">
        <v>13</v>
      </c>
      <c r="M2" s="9"/>
      <c r="N2" s="8" t="s">
        <v>12</v>
      </c>
      <c r="O2" s="57" t="s">
        <v>71</v>
      </c>
      <c r="P2" s="58"/>
      <c r="Q2" s="58"/>
      <c r="R2" s="58"/>
      <c r="S2" s="58"/>
      <c r="T2" s="58"/>
      <c r="U2" s="59"/>
      <c r="V2" s="9"/>
      <c r="W2" s="9"/>
      <c r="X2" s="9"/>
      <c r="Y2" s="9"/>
      <c r="Z2" s="9"/>
      <c r="AA2" s="9"/>
      <c r="AB2" s="55" t="s">
        <v>12</v>
      </c>
      <c r="AC2" s="9"/>
      <c r="AD2" s="9"/>
      <c r="AE2" s="9"/>
      <c r="AF2" s="9"/>
    </row>
    <row r="3" spans="1:40" ht="15" customHeight="1" x14ac:dyDescent="0.25">
      <c r="A3" s="5" t="s">
        <v>5</v>
      </c>
      <c r="C3" s="6" t="s">
        <v>14</v>
      </c>
      <c r="M3" s="9"/>
      <c r="N3" s="8" t="s">
        <v>12</v>
      </c>
      <c r="O3" s="60" t="s">
        <v>72</v>
      </c>
      <c r="P3" s="61"/>
      <c r="Q3" s="61"/>
      <c r="R3" s="61"/>
      <c r="S3" s="61"/>
      <c r="T3" s="61"/>
      <c r="U3" s="62"/>
      <c r="AA3" s="9"/>
      <c r="AB3" s="55" t="s">
        <v>12</v>
      </c>
    </row>
    <row r="4" spans="1:40" ht="15" customHeight="1" x14ac:dyDescent="0.25">
      <c r="M4" s="9"/>
      <c r="N4" s="8" t="s">
        <v>12</v>
      </c>
      <c r="X4" s="63" t="str">
        <f>IF(Q9&lt;&gt;"ok","required:","NOT required:")</f>
        <v>NOT required:</v>
      </c>
      <c r="Y4" s="64"/>
      <c r="Z4" s="63" t="str">
        <f>IF(Q19&lt;&gt;"usual","required:","NOT required:")</f>
        <v>required:</v>
      </c>
      <c r="AA4" s="65"/>
      <c r="AB4" s="55" t="s">
        <v>12</v>
      </c>
    </row>
    <row r="5" spans="1:40" ht="15" customHeight="1" x14ac:dyDescent="0.25">
      <c r="A5" s="5" t="s">
        <v>6</v>
      </c>
      <c r="C5" s="27"/>
      <c r="D5" s="28"/>
      <c r="E5" s="29"/>
      <c r="F5" s="29"/>
      <c r="G5" s="30"/>
      <c r="H5" s="31" t="s">
        <v>15</v>
      </c>
      <c r="I5" s="31" t="s">
        <v>16</v>
      </c>
      <c r="J5" s="32" t="s">
        <v>17</v>
      </c>
      <c r="M5" s="9"/>
      <c r="N5" s="8" t="s">
        <v>12</v>
      </c>
      <c r="X5" s="66" t="s">
        <v>73</v>
      </c>
      <c r="Y5" s="67"/>
      <c r="Z5" s="68" t="s">
        <v>74</v>
      </c>
      <c r="AA5" s="69"/>
      <c r="AB5" s="55" t="s">
        <v>12</v>
      </c>
      <c r="AC5" s="9"/>
      <c r="AD5" s="9"/>
      <c r="AE5" s="70" t="s">
        <v>75</v>
      </c>
      <c r="AF5" s="71" t="s">
        <v>76</v>
      </c>
      <c r="AG5" s="72" t="s">
        <v>77</v>
      </c>
      <c r="AH5" s="73" t="s">
        <v>78</v>
      </c>
      <c r="AI5" s="74" t="s">
        <v>79</v>
      </c>
      <c r="AJ5" s="75">
        <v>1</v>
      </c>
      <c r="AK5" s="9"/>
      <c r="AL5" s="9"/>
      <c r="AM5" s="9"/>
      <c r="AN5" s="9"/>
    </row>
    <row r="6" spans="1:40" ht="15" customHeight="1" x14ac:dyDescent="0.25">
      <c r="B6" s="7"/>
      <c r="C6" s="13" t="s">
        <v>18</v>
      </c>
      <c r="D6" s="33"/>
      <c r="E6" s="33"/>
      <c r="F6" s="16"/>
      <c r="G6" s="14"/>
      <c r="H6" s="34">
        <f t="shared" ref="H6:H32" si="0">AJ6</f>
        <v>1320</v>
      </c>
      <c r="I6" s="34">
        <f t="shared" ref="I6:I32" si="1">AK6</f>
        <v>1200</v>
      </c>
      <c r="J6" s="15">
        <f t="shared" ref="J6:J32" si="2">AL6</f>
        <v>1090.9090909090908</v>
      </c>
      <c r="M6" s="7"/>
      <c r="N6" s="8" t="s">
        <v>12</v>
      </c>
      <c r="O6" s="35" t="s">
        <v>19</v>
      </c>
      <c r="P6" s="36">
        <f>H8/H29</f>
        <v>3.686862272898765</v>
      </c>
      <c r="Q6" s="37" t="str">
        <f>IF(P6&gt;=900%,"unusual","ok")</f>
        <v>ok</v>
      </c>
      <c r="R6"/>
      <c r="S6"/>
      <c r="T6"/>
      <c r="U6" s="9"/>
      <c r="V6" s="38"/>
      <c r="W6" s="7"/>
      <c r="X6" s="37" t="s">
        <v>19</v>
      </c>
      <c r="Y6" s="76" t="str">
        <f>IF(Q9="ok","",H8/(H29-T9))</f>
        <v/>
      </c>
      <c r="Z6" s="9"/>
      <c r="AA6" s="77" t="s">
        <v>80</v>
      </c>
      <c r="AB6" s="55" t="s">
        <v>12</v>
      </c>
      <c r="AC6" s="9" t="s">
        <v>81</v>
      </c>
      <c r="AD6" s="9"/>
      <c r="AE6" s="78">
        <v>0.1</v>
      </c>
      <c r="AF6" s="79">
        <v>1</v>
      </c>
      <c r="AG6" s="80">
        <v>100</v>
      </c>
      <c r="AH6" s="81">
        <v>150</v>
      </c>
      <c r="AI6" s="82" t="s">
        <v>82</v>
      </c>
      <c r="AJ6" s="83">
        <v>1320</v>
      </c>
      <c r="AK6" s="84">
        <v>1200</v>
      </c>
      <c r="AL6" s="85">
        <v>1090.9090909090908</v>
      </c>
      <c r="AM6" s="99"/>
      <c r="AN6" s="99"/>
    </row>
    <row r="7" spans="1:40" ht="15" customHeight="1" x14ac:dyDescent="0.25">
      <c r="B7" s="7"/>
      <c r="C7" s="17" t="s">
        <v>20</v>
      </c>
      <c r="D7" s="39"/>
      <c r="E7" s="39"/>
      <c r="F7" s="40"/>
      <c r="G7" s="11"/>
      <c r="H7" s="41">
        <f t="shared" si="0"/>
        <v>939.84</v>
      </c>
      <c r="I7" s="41">
        <f t="shared" si="1"/>
        <v>892.8</v>
      </c>
      <c r="J7" s="21">
        <f t="shared" si="2"/>
        <v>820.36363636363637</v>
      </c>
      <c r="M7" s="7"/>
      <c r="N7" s="8" t="s">
        <v>12</v>
      </c>
      <c r="O7" s="35" t="s">
        <v>21</v>
      </c>
      <c r="P7" s="36">
        <f>H9/H29</f>
        <v>2.7884757646180161</v>
      </c>
      <c r="Q7" s="37" t="str">
        <f>IF(P7&gt;=300%,"unusual","ok")</f>
        <v>ok</v>
      </c>
      <c r="R7"/>
      <c r="S7"/>
      <c r="T7"/>
      <c r="U7" s="9"/>
      <c r="V7" s="38"/>
      <c r="X7" s="37" t="s">
        <v>21</v>
      </c>
      <c r="Y7" s="76" t="str">
        <f>IF(Q9="ok","",H9/(H29-T9))</f>
        <v/>
      </c>
      <c r="Z7" s="9"/>
      <c r="AA7" s="77" t="s">
        <v>80</v>
      </c>
      <c r="AB7" s="55" t="s">
        <v>12</v>
      </c>
      <c r="AC7" s="9" t="s">
        <v>83</v>
      </c>
      <c r="AD7" s="9"/>
      <c r="AE7" s="78">
        <v>0.2</v>
      </c>
      <c r="AF7" s="79">
        <v>1</v>
      </c>
      <c r="AG7" s="81">
        <v>60</v>
      </c>
      <c r="AH7" s="80">
        <v>100</v>
      </c>
      <c r="AI7" s="86" t="s">
        <v>84</v>
      </c>
      <c r="AJ7" s="87">
        <v>939.84</v>
      </c>
      <c r="AK7" s="87">
        <v>892.8</v>
      </c>
      <c r="AL7" s="88">
        <v>820.36363636363637</v>
      </c>
      <c r="AM7" s="9"/>
      <c r="AN7" s="9"/>
    </row>
    <row r="8" spans="1:40" ht="15" customHeight="1" x14ac:dyDescent="0.25">
      <c r="B8" s="7"/>
      <c r="C8" s="17" t="s">
        <v>22</v>
      </c>
      <c r="D8" s="39"/>
      <c r="E8" s="39"/>
      <c r="F8" s="40"/>
      <c r="G8" s="11"/>
      <c r="H8" s="41">
        <f t="shared" si="0"/>
        <v>1260</v>
      </c>
      <c r="I8" s="41">
        <f t="shared" si="1"/>
        <v>1145.4545454545453</v>
      </c>
      <c r="J8" s="21">
        <f t="shared" si="2"/>
        <v>1041.3223140495866</v>
      </c>
      <c r="M8" s="7"/>
      <c r="N8" s="8" t="s">
        <v>12</v>
      </c>
      <c r="O8" s="35" t="s">
        <v>23</v>
      </c>
      <c r="P8" s="36">
        <f>(H9-I9)/I9</f>
        <v>0.13402061855670122</v>
      </c>
      <c r="Q8" s="37" t="str">
        <f>IF(OR(P8&lt;=-33%, P8&gt;=33%),"unusual","ok")</f>
        <v>ok</v>
      </c>
      <c r="R8"/>
      <c r="S8"/>
      <c r="T8"/>
      <c r="U8" s="9"/>
      <c r="V8" s="38"/>
      <c r="X8" s="35" t="s">
        <v>23</v>
      </c>
      <c r="Y8" s="77" t="s">
        <v>80</v>
      </c>
      <c r="Z8" s="9"/>
      <c r="AA8" s="77" t="s">
        <v>80</v>
      </c>
      <c r="AB8" s="55" t="s">
        <v>12</v>
      </c>
      <c r="AC8" s="9" t="s">
        <v>81</v>
      </c>
      <c r="AD8" s="9"/>
      <c r="AE8" s="78">
        <v>0.1</v>
      </c>
      <c r="AF8" s="79">
        <v>1</v>
      </c>
      <c r="AG8" s="80">
        <v>100</v>
      </c>
      <c r="AH8" s="80">
        <v>100</v>
      </c>
      <c r="AI8" s="86" t="s">
        <v>85</v>
      </c>
      <c r="AJ8" s="89">
        <v>1260</v>
      </c>
      <c r="AK8" s="87">
        <v>1145.4545454545453</v>
      </c>
      <c r="AL8" s="88">
        <v>1041.3223140495866</v>
      </c>
      <c r="AM8" s="9"/>
      <c r="AN8" s="9"/>
    </row>
    <row r="9" spans="1:40" ht="15" customHeight="1" x14ac:dyDescent="0.25">
      <c r="B9" s="7"/>
      <c r="C9" s="18" t="s">
        <v>24</v>
      </c>
      <c r="D9" s="42"/>
      <c r="E9" s="42"/>
      <c r="F9" s="12"/>
      <c r="G9" s="19"/>
      <c r="H9" s="43">
        <f t="shared" si="0"/>
        <v>952.97280000000001</v>
      </c>
      <c r="I9" s="43">
        <f t="shared" si="1"/>
        <v>840.34874181818168</v>
      </c>
      <c r="J9" s="20">
        <f t="shared" si="2"/>
        <v>802.15107173553702</v>
      </c>
      <c r="M9" s="7"/>
      <c r="N9" s="8" t="s">
        <v>12</v>
      </c>
      <c r="O9" s="35" t="s">
        <v>25</v>
      </c>
      <c r="P9" s="36">
        <f>T9/H29</f>
        <v>4.8666582002263703E-2</v>
      </c>
      <c r="Q9" s="37" t="str">
        <f>IF(P9&gt;=15%,"unusual","ok")</f>
        <v>ok</v>
      </c>
      <c r="R9" s="44" t="s">
        <v>26</v>
      </c>
      <c r="S9" s="37" t="s">
        <v>27</v>
      </c>
      <c r="T9" s="45">
        <f>(SUM(H13:H14)/SUM(H11:H12))*H26</f>
        <v>16.632000000000001</v>
      </c>
      <c r="U9" s="51"/>
      <c r="V9" s="109" t="s">
        <v>133</v>
      </c>
      <c r="X9" s="35" t="s">
        <v>25</v>
      </c>
      <c r="Y9" s="77" t="s">
        <v>80</v>
      </c>
      <c r="Z9" s="9"/>
      <c r="AA9" s="77" t="s">
        <v>80</v>
      </c>
      <c r="AB9" s="55" t="s">
        <v>12</v>
      </c>
      <c r="AC9" s="9" t="s">
        <v>81</v>
      </c>
      <c r="AD9" s="9"/>
      <c r="AE9" s="78">
        <v>0.1</v>
      </c>
      <c r="AF9" s="79">
        <v>1</v>
      </c>
      <c r="AG9" s="81">
        <v>90</v>
      </c>
      <c r="AH9" s="81">
        <v>110</v>
      </c>
      <c r="AI9" s="90" t="s">
        <v>86</v>
      </c>
      <c r="AJ9" s="91">
        <v>952.97280000000001</v>
      </c>
      <c r="AK9" s="92">
        <v>840.34874181818168</v>
      </c>
      <c r="AL9" s="93">
        <v>802.15107173553702</v>
      </c>
      <c r="AM9" s="9"/>
      <c r="AN9" s="9"/>
    </row>
    <row r="10" spans="1:40" ht="15" customHeight="1" x14ac:dyDescent="0.25">
      <c r="B10" s="7"/>
      <c r="C10" s="17" t="s">
        <v>28</v>
      </c>
      <c r="D10" s="39"/>
      <c r="E10" s="39"/>
      <c r="F10" s="40"/>
      <c r="G10" s="11"/>
      <c r="H10" s="41">
        <f t="shared" si="0"/>
        <v>46.873199999999997</v>
      </c>
      <c r="I10" s="41">
        <f t="shared" si="1"/>
        <v>84.588000000000008</v>
      </c>
      <c r="J10" s="21">
        <f t="shared" si="2"/>
        <v>43.941818181818171</v>
      </c>
      <c r="M10" s="7"/>
      <c r="N10" s="8" t="s">
        <v>12</v>
      </c>
      <c r="O10"/>
      <c r="P10" s="36"/>
      <c r="Q10" s="35"/>
      <c r="R10"/>
      <c r="S10"/>
      <c r="T10"/>
      <c r="U10" s="110" t="s">
        <v>133</v>
      </c>
      <c r="V10" s="111" t="s">
        <v>134</v>
      </c>
      <c r="X10"/>
      <c r="Z10" s="9"/>
      <c r="AA10" s="9"/>
      <c r="AB10" s="55" t="s">
        <v>12</v>
      </c>
      <c r="AC10" s="9" t="s">
        <v>87</v>
      </c>
      <c r="AD10" s="9"/>
      <c r="AE10" s="78">
        <v>5.2999999999999999E-2</v>
      </c>
      <c r="AF10" s="79">
        <v>1</v>
      </c>
      <c r="AG10" s="81">
        <v>50</v>
      </c>
      <c r="AH10" s="81">
        <v>150</v>
      </c>
      <c r="AI10" s="86" t="s">
        <v>88</v>
      </c>
      <c r="AJ10" s="87">
        <v>46.873199999999997</v>
      </c>
      <c r="AK10" s="87">
        <v>84.588000000000008</v>
      </c>
      <c r="AL10" s="88">
        <v>43.941818181818171</v>
      </c>
      <c r="AM10" s="100"/>
      <c r="AN10" s="100"/>
    </row>
    <row r="11" spans="1:40" ht="15" customHeight="1" x14ac:dyDescent="0.25">
      <c r="B11" s="7"/>
      <c r="C11" s="13" t="s">
        <v>29</v>
      </c>
      <c r="D11" s="33"/>
      <c r="E11" s="33"/>
      <c r="F11" s="16"/>
      <c r="G11" s="14"/>
      <c r="H11" s="34">
        <f t="shared" si="0"/>
        <v>142.56</v>
      </c>
      <c r="I11" s="34">
        <f t="shared" si="1"/>
        <v>115.20000000000002</v>
      </c>
      <c r="J11" s="15">
        <f t="shared" si="2"/>
        <v>101.45454545454541</v>
      </c>
      <c r="M11" s="7"/>
      <c r="N11" s="8" t="s">
        <v>12</v>
      </c>
      <c r="O11" s="35" t="s">
        <v>30</v>
      </c>
      <c r="P11" s="36">
        <f>T11+T12-T13</f>
        <v>0.9697182208905516</v>
      </c>
      <c r="Q11" s="46" t="str">
        <f>IF(P11&lt;100%,"usual","not ok")</f>
        <v>usual</v>
      </c>
      <c r="R11" s="44" t="s">
        <v>26</v>
      </c>
      <c r="S11" s="37" t="s">
        <v>31</v>
      </c>
      <c r="T11" s="47">
        <f>(SUM(H16:I16)+SUM(H17:I17))/SUM(H7:I7)</f>
        <v>0.88863947734772142</v>
      </c>
      <c r="U11" s="108">
        <f>H31</f>
        <v>62.622720000000093</v>
      </c>
      <c r="V11" s="104">
        <f>(SUM(H16:I16)+SUM(H17:I17)-U11)/SUM(H7:I7)</f>
        <v>0.85446870731105296</v>
      </c>
      <c r="X11" s="94" t="s">
        <v>30</v>
      </c>
      <c r="Y11" s="77" t="s">
        <v>80</v>
      </c>
      <c r="Z11" s="9"/>
      <c r="AA11" s="102">
        <f>IF(Q19="not ok",V11+T12-T13,"")</f>
        <v>0.93554745085388313</v>
      </c>
      <c r="AB11" s="55" t="s">
        <v>12</v>
      </c>
      <c r="AC11" s="9" t="s">
        <v>89</v>
      </c>
      <c r="AD11" s="9"/>
      <c r="AE11" s="78">
        <v>0.375</v>
      </c>
      <c r="AF11" s="79">
        <v>1</v>
      </c>
      <c r="AG11" s="80">
        <v>100</v>
      </c>
      <c r="AH11" s="80">
        <v>100</v>
      </c>
      <c r="AI11" s="82" t="s">
        <v>90</v>
      </c>
      <c r="AJ11" s="95">
        <v>142.56</v>
      </c>
      <c r="AK11" s="95">
        <v>115.20000000000002</v>
      </c>
      <c r="AL11" s="96">
        <v>101.45454545454541</v>
      </c>
      <c r="AM11" s="9"/>
      <c r="AN11" s="9"/>
    </row>
    <row r="12" spans="1:40" ht="15" customHeight="1" x14ac:dyDescent="0.25">
      <c r="B12" s="7"/>
      <c r="C12" s="17" t="s">
        <v>32</v>
      </c>
      <c r="D12" s="39"/>
      <c r="E12" s="39"/>
      <c r="F12" s="40"/>
      <c r="G12" s="11"/>
      <c r="H12" s="41">
        <f t="shared" si="0"/>
        <v>237.59999999999997</v>
      </c>
      <c r="I12" s="41">
        <f t="shared" si="1"/>
        <v>192.00000000000003</v>
      </c>
      <c r="J12" s="21">
        <f t="shared" si="2"/>
        <v>169.09090909090901</v>
      </c>
      <c r="M12" s="7"/>
      <c r="N12" s="8" t="s">
        <v>12</v>
      </c>
      <c r="O12" s="35" t="s">
        <v>33</v>
      </c>
      <c r="P12" s="48">
        <f>2*H10/(SUM(H19:I19)+SUM(H20:I20)-SUM(H28:I28)-H10)</f>
        <v>3.5477831203807618E-2</v>
      </c>
      <c r="Q12" s="46" t="str">
        <f>IF(AND(P12&gt;2%,P12&lt;5.5%),"usual","not ok")</f>
        <v>usual</v>
      </c>
      <c r="R12"/>
      <c r="S12" s="37" t="s">
        <v>34</v>
      </c>
      <c r="T12" s="47">
        <f>(SUM(H18:I18)-SUM(H15:I15))/SUM(H9:I9)</f>
        <v>0.15281198083984429</v>
      </c>
      <c r="U12" s="47"/>
      <c r="V12" s="38"/>
      <c r="X12" s="35" t="s">
        <v>33</v>
      </c>
      <c r="Y12" s="77" t="s">
        <v>80</v>
      </c>
      <c r="Z12" s="9"/>
      <c r="AA12" s="77" t="s">
        <v>80</v>
      </c>
      <c r="AB12" s="55" t="s">
        <v>12</v>
      </c>
      <c r="AC12" s="9" t="s">
        <v>89</v>
      </c>
      <c r="AD12" s="9"/>
      <c r="AE12" s="78">
        <f>1-0.375</f>
        <v>0.625</v>
      </c>
      <c r="AF12" s="79">
        <v>1</v>
      </c>
      <c r="AG12" s="80">
        <v>100</v>
      </c>
      <c r="AH12" s="80">
        <v>100</v>
      </c>
      <c r="AI12" s="86" t="s">
        <v>91</v>
      </c>
      <c r="AJ12" s="87">
        <v>237.59999999999997</v>
      </c>
      <c r="AK12" s="87">
        <v>192.00000000000003</v>
      </c>
      <c r="AL12" s="88">
        <v>169.09090909090901</v>
      </c>
      <c r="AM12" s="9"/>
      <c r="AN12" s="9"/>
    </row>
    <row r="13" spans="1:40" ht="15" customHeight="1" x14ac:dyDescent="0.25">
      <c r="B13" s="7"/>
      <c r="C13" s="17" t="s">
        <v>35</v>
      </c>
      <c r="D13" s="39"/>
      <c r="E13" s="39"/>
      <c r="F13" s="40"/>
      <c r="G13" s="11"/>
      <c r="H13" s="41">
        <f t="shared" si="0"/>
        <v>41.58</v>
      </c>
      <c r="I13" s="41">
        <f t="shared" si="1"/>
        <v>33.6</v>
      </c>
      <c r="J13" s="21">
        <f t="shared" si="2"/>
        <v>29.590909090909072</v>
      </c>
      <c r="M13" s="7"/>
      <c r="N13" s="8" t="s">
        <v>12</v>
      </c>
      <c r="O13" s="35" t="s">
        <v>36</v>
      </c>
      <c r="P13" s="48">
        <f>(H29-I29)/I29</f>
        <v>0.35972222222222217</v>
      </c>
      <c r="Q13" s="46" t="str">
        <f>IF(AND(P13&gt;-10%,P13&lt;50%),"usual","not ok")</f>
        <v>usual</v>
      </c>
      <c r="R13"/>
      <c r="S13" s="37" t="s">
        <v>37</v>
      </c>
      <c r="T13" s="47">
        <f>SUM(H10:I10)/SUM(H7:I7)</f>
        <v>7.1733237297014155E-2</v>
      </c>
      <c r="U13" s="47"/>
      <c r="V13" s="38"/>
      <c r="X13" s="37" t="s">
        <v>36</v>
      </c>
      <c r="Y13" s="76" t="str">
        <f>IF(Q9="ok","",(H29-T9-I29)/I29)</f>
        <v/>
      </c>
      <c r="Z13" s="9"/>
      <c r="AA13" s="77" t="s">
        <v>80</v>
      </c>
      <c r="AB13" s="55" t="s">
        <v>12</v>
      </c>
      <c r="AC13" s="9" t="s">
        <v>92</v>
      </c>
      <c r="AD13" s="9"/>
      <c r="AE13" s="78">
        <v>0.17499999999999999</v>
      </c>
      <c r="AF13" s="79">
        <v>1</v>
      </c>
      <c r="AG13" s="80">
        <v>100</v>
      </c>
      <c r="AH13" s="80">
        <v>100</v>
      </c>
      <c r="AI13" s="86" t="s">
        <v>93</v>
      </c>
      <c r="AJ13" s="87">
        <v>41.58</v>
      </c>
      <c r="AK13" s="87">
        <v>33.6</v>
      </c>
      <c r="AL13" s="88">
        <v>29.590909090909072</v>
      </c>
      <c r="AM13" s="9"/>
      <c r="AN13" s="9"/>
    </row>
    <row r="14" spans="1:40" ht="15" customHeight="1" x14ac:dyDescent="0.25">
      <c r="B14" s="7"/>
      <c r="C14" s="18" t="s">
        <v>38</v>
      </c>
      <c r="D14" s="42"/>
      <c r="E14" s="42"/>
      <c r="F14" s="12"/>
      <c r="G14" s="19"/>
      <c r="H14" s="43">
        <f t="shared" si="0"/>
        <v>24.947999999999997</v>
      </c>
      <c r="I14" s="43">
        <f t="shared" si="1"/>
        <v>20.160000000000004</v>
      </c>
      <c r="J14" s="20">
        <f t="shared" si="2"/>
        <v>17.754545454545443</v>
      </c>
      <c r="M14" s="7"/>
      <c r="N14" s="8" t="s">
        <v>12</v>
      </c>
      <c r="O14" s="35" t="s">
        <v>39</v>
      </c>
      <c r="P14" s="48">
        <f>(H29-I29-H30)/I29</f>
        <v>0.19369658119658115</v>
      </c>
      <c r="Q14" s="46" t="str">
        <f>IF(AND(P14&gt;-10%,P14&lt;25%),"usual","not ok")</f>
        <v>usual</v>
      </c>
      <c r="R14"/>
      <c r="S14"/>
      <c r="T14"/>
      <c r="U14" s="9"/>
      <c r="V14" s="38"/>
      <c r="X14" s="35" t="s">
        <v>39</v>
      </c>
      <c r="Y14" s="77" t="s">
        <v>80</v>
      </c>
      <c r="Z14" s="9"/>
      <c r="AA14" s="77" t="s">
        <v>80</v>
      </c>
      <c r="AB14" s="55" t="s">
        <v>12</v>
      </c>
      <c r="AC14" s="9" t="s">
        <v>94</v>
      </c>
      <c r="AD14" s="9"/>
      <c r="AE14" s="78">
        <v>0.625</v>
      </c>
      <c r="AF14" s="79">
        <v>1</v>
      </c>
      <c r="AG14" s="80">
        <v>100</v>
      </c>
      <c r="AH14" s="80">
        <v>100</v>
      </c>
      <c r="AI14" s="90" t="s">
        <v>95</v>
      </c>
      <c r="AJ14" s="92">
        <v>24.947999999999997</v>
      </c>
      <c r="AK14" s="92">
        <v>20.160000000000004</v>
      </c>
      <c r="AL14" s="93">
        <v>17.754545454545443</v>
      </c>
      <c r="AM14" s="9"/>
      <c r="AN14" s="9"/>
    </row>
    <row r="15" spans="1:40" ht="15" customHeight="1" x14ac:dyDescent="0.25">
      <c r="B15" s="7"/>
      <c r="C15" s="17" t="s">
        <v>40</v>
      </c>
      <c r="D15" s="39"/>
      <c r="E15" s="39"/>
      <c r="F15" s="40"/>
      <c r="G15" s="11"/>
      <c r="H15" s="41">
        <f t="shared" si="0"/>
        <v>25.731511871999995</v>
      </c>
      <c r="I15" s="41">
        <f t="shared" si="1"/>
        <v>42.977471039999998</v>
      </c>
      <c r="J15" s="21">
        <f t="shared" si="2"/>
        <v>21.299478109090902</v>
      </c>
      <c r="M15" s="7"/>
      <c r="N15" s="8" t="s">
        <v>12</v>
      </c>
      <c r="O15"/>
      <c r="P15" s="36"/>
      <c r="Q15" s="35"/>
      <c r="R15"/>
      <c r="S15"/>
      <c r="T15"/>
      <c r="U15" s="9"/>
      <c r="V15" s="47"/>
      <c r="X15"/>
      <c r="Z15" s="9"/>
      <c r="AA15" s="9"/>
      <c r="AB15" s="55" t="s">
        <v>12</v>
      </c>
      <c r="AC15" s="9" t="s">
        <v>96</v>
      </c>
      <c r="AD15" s="9"/>
      <c r="AE15" s="78">
        <v>0.58399999999999996</v>
      </c>
      <c r="AF15" s="79">
        <v>1</v>
      </c>
      <c r="AG15" s="81">
        <v>80</v>
      </c>
      <c r="AH15" s="80">
        <v>100</v>
      </c>
      <c r="AI15" s="86" t="s">
        <v>97</v>
      </c>
      <c r="AJ15" s="87">
        <v>25.731511871999995</v>
      </c>
      <c r="AK15" s="87">
        <v>42.977471039999998</v>
      </c>
      <c r="AL15" s="88">
        <v>21.299478109090902</v>
      </c>
      <c r="AM15" s="9"/>
      <c r="AN15" s="9"/>
    </row>
    <row r="16" spans="1:40" ht="15" customHeight="1" x14ac:dyDescent="0.25">
      <c r="B16" s="7"/>
      <c r="C16" s="13" t="s">
        <v>41</v>
      </c>
      <c r="D16" s="33"/>
      <c r="E16" s="33"/>
      <c r="F16" s="16"/>
      <c r="G16" s="14"/>
      <c r="H16" s="34">
        <f t="shared" si="0"/>
        <v>845.85600000000011</v>
      </c>
      <c r="I16" s="34">
        <f t="shared" si="1"/>
        <v>758.88</v>
      </c>
      <c r="J16" s="15">
        <f t="shared" si="2"/>
        <v>656.29090909090917</v>
      </c>
      <c r="M16" s="7"/>
      <c r="N16" s="8" t="s">
        <v>12</v>
      </c>
      <c r="O16" s="35" t="s">
        <v>42</v>
      </c>
      <c r="P16" s="36">
        <f>(H24-H23)/H21</f>
        <v>1.093417591721543</v>
      </c>
      <c r="Q16" s="46" t="str">
        <f>IF(P16&lt;100%,"usual","not ok")</f>
        <v>not ok</v>
      </c>
      <c r="R16"/>
      <c r="S16"/>
      <c r="T16"/>
      <c r="U16" s="9"/>
      <c r="V16" s="38"/>
      <c r="X16" s="35" t="s">
        <v>42</v>
      </c>
      <c r="Y16" s="77" t="s">
        <v>80</v>
      </c>
      <c r="Z16" s="9"/>
      <c r="AA16" s="77" t="s">
        <v>80</v>
      </c>
      <c r="AB16" s="55" t="s">
        <v>12</v>
      </c>
      <c r="AC16" s="9" t="s">
        <v>98</v>
      </c>
      <c r="AD16" s="9"/>
      <c r="AE16" s="78">
        <v>0.9</v>
      </c>
      <c r="AF16" s="79">
        <v>1</v>
      </c>
      <c r="AG16" s="80">
        <v>100</v>
      </c>
      <c r="AH16" s="80">
        <v>100</v>
      </c>
      <c r="AI16" s="82" t="s">
        <v>99</v>
      </c>
      <c r="AJ16" s="95">
        <v>845.85600000000011</v>
      </c>
      <c r="AK16" s="84">
        <v>758.88</v>
      </c>
      <c r="AL16" s="96">
        <v>656.29090909090917</v>
      </c>
      <c r="AM16" s="9"/>
      <c r="AN16" s="9"/>
    </row>
    <row r="17" spans="1:40" ht="15" customHeight="1" x14ac:dyDescent="0.25">
      <c r="B17" s="7"/>
      <c r="C17" s="17" t="s">
        <v>43</v>
      </c>
      <c r="D17" s="39"/>
      <c r="E17" s="39"/>
      <c r="F17" s="40"/>
      <c r="G17" s="11"/>
      <c r="H17" s="41">
        <f t="shared" si="0"/>
        <v>8.6399607127679996</v>
      </c>
      <c r="I17" s="41">
        <f t="shared" si="1"/>
        <v>15.18029105376</v>
      </c>
      <c r="J17" s="21">
        <f t="shared" si="2"/>
        <v>7.7637142586181787</v>
      </c>
      <c r="M17" s="7"/>
      <c r="N17" s="8" t="s">
        <v>12</v>
      </c>
      <c r="O17" s="35" t="s">
        <v>44</v>
      </c>
      <c r="P17" s="36">
        <f>H22/H29</f>
        <v>0.24333291001131849</v>
      </c>
      <c r="Q17" s="46" t="str">
        <f>IF(P17&lt;40%,"usual","not ok")</f>
        <v>usual</v>
      </c>
      <c r="R17"/>
      <c r="S17"/>
      <c r="T17"/>
      <c r="U17" s="9"/>
      <c r="V17" s="38"/>
      <c r="X17" s="37" t="s">
        <v>44</v>
      </c>
      <c r="Y17" s="76" t="str">
        <f>IF(Q9="ok","",H22/(H29-T9))</f>
        <v/>
      </c>
      <c r="Z17" s="9"/>
      <c r="AA17" s="77" t="s">
        <v>80</v>
      </c>
      <c r="AB17" s="55" t="s">
        <v>12</v>
      </c>
      <c r="AC17" s="7" t="s">
        <v>100</v>
      </c>
      <c r="AD17" s="9"/>
      <c r="AE17" s="48">
        <v>0.11899999999999999</v>
      </c>
      <c r="AF17" s="79">
        <v>1</v>
      </c>
      <c r="AG17" s="80">
        <v>100</v>
      </c>
      <c r="AH17" s="80">
        <v>100</v>
      </c>
      <c r="AI17" s="86" t="s">
        <v>101</v>
      </c>
      <c r="AJ17" s="87">
        <v>8.6399607127679996</v>
      </c>
      <c r="AK17" s="87">
        <v>15.18029105376</v>
      </c>
      <c r="AL17" s="88">
        <v>7.7637142586181787</v>
      </c>
      <c r="AM17" s="9"/>
      <c r="AN17" s="9"/>
    </row>
    <row r="18" spans="1:40" ht="15" customHeight="1" x14ac:dyDescent="0.25">
      <c r="B18" s="7"/>
      <c r="C18" s="17" t="s">
        <v>45</v>
      </c>
      <c r="D18" s="39"/>
      <c r="E18" s="39"/>
      <c r="F18" s="40"/>
      <c r="G18" s="11"/>
      <c r="H18" s="41">
        <f t="shared" si="0"/>
        <v>189.75</v>
      </c>
      <c r="I18" s="41">
        <f t="shared" si="1"/>
        <v>153</v>
      </c>
      <c r="J18" s="21">
        <f t="shared" si="2"/>
        <v>162.27272727272725</v>
      </c>
      <c r="M18" s="7"/>
      <c r="N18" s="8" t="s">
        <v>12</v>
      </c>
      <c r="O18"/>
      <c r="P18" s="36"/>
      <c r="Q18" s="35"/>
      <c r="R18"/>
      <c r="S18"/>
      <c r="T18"/>
      <c r="U18" s="9"/>
      <c r="V18" s="38"/>
      <c r="X18"/>
      <c r="Z18" s="9"/>
      <c r="AA18" s="9"/>
      <c r="AB18" s="55" t="s">
        <v>12</v>
      </c>
      <c r="AC18" s="7" t="s">
        <v>102</v>
      </c>
      <c r="AD18" s="9"/>
      <c r="AE18" s="48">
        <v>0.125</v>
      </c>
      <c r="AF18" s="79">
        <v>1</v>
      </c>
      <c r="AG18" s="80">
        <v>100</v>
      </c>
      <c r="AH18" s="81">
        <v>120</v>
      </c>
      <c r="AI18" s="86" t="s">
        <v>103</v>
      </c>
      <c r="AJ18" s="87">
        <v>189.75</v>
      </c>
      <c r="AK18" s="87">
        <v>153</v>
      </c>
      <c r="AL18" s="88">
        <v>162.27272727272725</v>
      </c>
      <c r="AM18" s="9"/>
      <c r="AN18" s="9"/>
    </row>
    <row r="19" spans="1:40" ht="15" customHeight="1" x14ac:dyDescent="0.25">
      <c r="B19" s="7"/>
      <c r="C19" s="17" t="s">
        <v>46</v>
      </c>
      <c r="D19" s="39"/>
      <c r="E19" s="39"/>
      <c r="F19" s="40"/>
      <c r="G19" s="11"/>
      <c r="H19" s="41">
        <f t="shared" si="0"/>
        <v>1403.16</v>
      </c>
      <c r="I19" s="41">
        <f t="shared" si="1"/>
        <v>1275.5999999999999</v>
      </c>
      <c r="J19" s="21">
        <f t="shared" si="2"/>
        <v>1159.6363636363635</v>
      </c>
      <c r="M19" s="7"/>
      <c r="N19" s="8" t="s">
        <v>12</v>
      </c>
      <c r="O19" s="35" t="s">
        <v>47</v>
      </c>
      <c r="P19" s="49">
        <f>H31/I29</f>
        <v>0.24915436020130391</v>
      </c>
      <c r="Q19" s="46" t="str">
        <f>IF(P19&lt;20%,"usual","not ok")</f>
        <v>not ok</v>
      </c>
      <c r="R19"/>
      <c r="S19"/>
      <c r="T19"/>
      <c r="U19" s="9"/>
      <c r="V19" s="38"/>
      <c r="X19" s="35" t="s">
        <v>47</v>
      </c>
      <c r="Y19" s="77" t="s">
        <v>80</v>
      </c>
      <c r="Z19" s="9"/>
      <c r="AA19" s="77" t="s">
        <v>80</v>
      </c>
      <c r="AB19" s="55" t="s">
        <v>12</v>
      </c>
      <c r="AC19" s="7" t="s">
        <v>104</v>
      </c>
      <c r="AD19" s="9"/>
      <c r="AE19" s="48">
        <v>1.0629999999999999</v>
      </c>
      <c r="AF19" s="79">
        <v>1</v>
      </c>
      <c r="AG19" s="80">
        <v>100</v>
      </c>
      <c r="AH19" s="80">
        <v>100</v>
      </c>
      <c r="AI19" s="86" t="s">
        <v>105</v>
      </c>
      <c r="AJ19" s="87">
        <v>1403.16</v>
      </c>
      <c r="AK19" s="87">
        <v>1275.5999999999999</v>
      </c>
      <c r="AL19" s="88">
        <v>1159.6363636363635</v>
      </c>
      <c r="AM19" s="9"/>
      <c r="AN19" s="9"/>
    </row>
    <row r="20" spans="1:40" ht="15" customHeight="1" x14ac:dyDescent="0.25">
      <c r="B20" s="7"/>
      <c r="C20" s="17" t="s">
        <v>48</v>
      </c>
      <c r="D20" s="39"/>
      <c r="E20" s="39"/>
      <c r="F20" s="40"/>
      <c r="G20" s="11"/>
      <c r="H20" s="41">
        <f t="shared" si="0"/>
        <v>4.3199803563839998</v>
      </c>
      <c r="I20" s="41">
        <f t="shared" si="1"/>
        <v>7.5901455268799998</v>
      </c>
      <c r="J20" s="21">
        <f t="shared" si="2"/>
        <v>3.8818571293090893</v>
      </c>
      <c r="M20" s="7"/>
      <c r="N20" s="8" t="s">
        <v>12</v>
      </c>
      <c r="O20" s="35" t="s">
        <v>49</v>
      </c>
      <c r="P20" s="49">
        <f>H32/J29</f>
        <v>0.51389851681331344</v>
      </c>
      <c r="Q20" s="46" t="str">
        <f>IF(P20&lt;20%,"usual","not ok")</f>
        <v>not ok</v>
      </c>
      <c r="R20"/>
      <c r="S20"/>
      <c r="T20"/>
      <c r="U20" s="9"/>
      <c r="V20" s="38"/>
      <c r="X20" s="35" t="s">
        <v>49</v>
      </c>
      <c r="Y20" s="77" t="s">
        <v>80</v>
      </c>
      <c r="Z20" s="9"/>
      <c r="AA20" s="77" t="s">
        <v>80</v>
      </c>
      <c r="AB20" s="55" t="s">
        <v>12</v>
      </c>
      <c r="AC20" s="7" t="s">
        <v>106</v>
      </c>
      <c r="AD20" s="9"/>
      <c r="AE20" s="48">
        <v>0.5</v>
      </c>
      <c r="AF20" s="79">
        <v>1</v>
      </c>
      <c r="AG20" s="80">
        <v>100</v>
      </c>
      <c r="AH20" s="80">
        <v>100</v>
      </c>
      <c r="AI20" s="86" t="s">
        <v>107</v>
      </c>
      <c r="AJ20" s="87">
        <v>4.3199803563839998</v>
      </c>
      <c r="AK20" s="87">
        <v>7.5901455268799998</v>
      </c>
      <c r="AL20" s="88">
        <v>3.8818571293090893</v>
      </c>
      <c r="AM20" s="9"/>
      <c r="AN20" s="9"/>
    </row>
    <row r="21" spans="1:40" ht="15" customHeight="1" x14ac:dyDescent="0.25">
      <c r="B21" s="7"/>
      <c r="C21" s="17" t="s">
        <v>50</v>
      </c>
      <c r="D21" s="39"/>
      <c r="E21" s="39"/>
      <c r="F21" s="40"/>
      <c r="G21" s="11"/>
      <c r="H21" s="41">
        <f t="shared" si="0"/>
        <v>2806.32</v>
      </c>
      <c r="I21" s="41">
        <f t="shared" si="1"/>
        <v>2551.1999999999998</v>
      </c>
      <c r="J21" s="21">
        <f t="shared" si="2"/>
        <v>2319.272727272727</v>
      </c>
      <c r="M21" s="7"/>
      <c r="N21" s="8" t="s">
        <v>12</v>
      </c>
      <c r="O21" s="35" t="s">
        <v>51</v>
      </c>
      <c r="P21" s="36">
        <f>T21/H29</f>
        <v>0.28708662147641145</v>
      </c>
      <c r="Q21" s="46" t="str">
        <f>IF(P21&lt;25%,"usual","not ok")</f>
        <v>not ok</v>
      </c>
      <c r="R21" s="44" t="s">
        <v>26</v>
      </c>
      <c r="S21" s="37" t="s">
        <v>52</v>
      </c>
      <c r="T21" s="51">
        <f>T22-H27</f>
        <v>98.113006748112639</v>
      </c>
      <c r="U21" s="9"/>
      <c r="V21" s="38"/>
      <c r="X21" s="37" t="s">
        <v>51</v>
      </c>
      <c r="Y21" s="76" t="str">
        <f>IF(Q9="ok","",T21/(H29-T9))</f>
        <v/>
      </c>
      <c r="Z21" s="9"/>
      <c r="AA21" s="77" t="s">
        <v>80</v>
      </c>
      <c r="AB21" s="55" t="s">
        <v>12</v>
      </c>
      <c r="AC21" s="7" t="s">
        <v>108</v>
      </c>
      <c r="AD21" s="9"/>
      <c r="AE21" s="48">
        <v>2</v>
      </c>
      <c r="AF21" s="79">
        <v>1</v>
      </c>
      <c r="AG21" s="80">
        <v>100</v>
      </c>
      <c r="AH21" s="80">
        <v>100</v>
      </c>
      <c r="AI21" s="86" t="s">
        <v>109</v>
      </c>
      <c r="AJ21" s="87">
        <v>2806.32</v>
      </c>
      <c r="AK21" s="87">
        <v>2551.1999999999998</v>
      </c>
      <c r="AL21" s="88">
        <v>2319.272727272727</v>
      </c>
      <c r="AM21" s="9"/>
      <c r="AN21" s="9"/>
    </row>
    <row r="22" spans="1:40" ht="15" customHeight="1" x14ac:dyDescent="0.25">
      <c r="B22" s="7"/>
      <c r="C22" s="17" t="s">
        <v>53</v>
      </c>
      <c r="D22" s="39"/>
      <c r="E22" s="39"/>
      <c r="F22" s="40"/>
      <c r="G22" s="11"/>
      <c r="H22" s="41">
        <f t="shared" si="0"/>
        <v>83.16</v>
      </c>
      <c r="I22" s="41">
        <f t="shared" si="1"/>
        <v>0</v>
      </c>
      <c r="J22" s="21">
        <f t="shared" si="2"/>
        <v>0</v>
      </c>
      <c r="M22" s="7"/>
      <c r="N22" s="8" t="s">
        <v>12</v>
      </c>
      <c r="O22"/>
      <c r="P22"/>
      <c r="Q22"/>
      <c r="R22"/>
      <c r="S22" s="37" t="s">
        <v>54</v>
      </c>
      <c r="T22" s="51">
        <f>T23*H7</f>
        <v>391.81300674811263</v>
      </c>
      <c r="U22" s="9"/>
      <c r="V22" s="9"/>
      <c r="X22" s="50"/>
      <c r="Y22" s="50"/>
      <c r="Z22" s="9"/>
      <c r="AA22" s="9"/>
      <c r="AB22" s="55" t="s">
        <v>12</v>
      </c>
      <c r="AC22" s="7" t="s">
        <v>110</v>
      </c>
      <c r="AD22" s="9"/>
      <c r="AE22" s="48">
        <v>6.3E-2</v>
      </c>
      <c r="AF22" s="79">
        <v>1</v>
      </c>
      <c r="AG22" s="80">
        <v>100</v>
      </c>
      <c r="AH22" s="80">
        <v>100</v>
      </c>
      <c r="AI22" s="86" t="s">
        <v>111</v>
      </c>
      <c r="AJ22" s="87">
        <v>83.16</v>
      </c>
      <c r="AK22" s="87"/>
      <c r="AL22" s="88"/>
      <c r="AM22" s="9"/>
      <c r="AN22" s="9"/>
    </row>
    <row r="23" spans="1:40" ht="15" customHeight="1" x14ac:dyDescent="0.25">
      <c r="B23" s="7"/>
      <c r="C23" s="18" t="s">
        <v>55</v>
      </c>
      <c r="D23" s="42"/>
      <c r="E23" s="42"/>
      <c r="F23" s="12"/>
      <c r="G23" s="19"/>
      <c r="H23" s="43">
        <f t="shared" si="0"/>
        <v>29.416992000000004</v>
      </c>
      <c r="I23" s="43">
        <f t="shared" si="1"/>
        <v>0</v>
      </c>
      <c r="J23" s="20">
        <f t="shared" si="2"/>
        <v>0</v>
      </c>
      <c r="M23" s="7"/>
      <c r="N23" s="8" t="s">
        <v>12</v>
      </c>
      <c r="O23"/>
      <c r="P23"/>
      <c r="Q23"/>
      <c r="R23"/>
      <c r="S23" s="37" t="s">
        <v>56</v>
      </c>
      <c r="T23" s="52">
        <f>AVERAGE(W23,W24)</f>
        <v>0.41689330816746745</v>
      </c>
      <c r="U23" s="44" t="s">
        <v>26</v>
      </c>
      <c r="V23" s="53" t="s">
        <v>57</v>
      </c>
      <c r="W23" s="50">
        <f>(I27+H31)/I7</f>
        <v>0.38264193548387104</v>
      </c>
      <c r="X23" s="50"/>
      <c r="Y23" s="50"/>
      <c r="Z23" s="9"/>
      <c r="AA23" s="9"/>
      <c r="AB23" s="55" t="s">
        <v>12</v>
      </c>
      <c r="AC23" s="7" t="s">
        <v>112</v>
      </c>
      <c r="AD23" s="9"/>
      <c r="AE23" s="48">
        <v>3.1300000000000001E-2</v>
      </c>
      <c r="AF23" s="79">
        <v>1</v>
      </c>
      <c r="AG23" s="80">
        <v>100</v>
      </c>
      <c r="AH23" s="80">
        <v>100</v>
      </c>
      <c r="AI23" s="90" t="s">
        <v>113</v>
      </c>
      <c r="AJ23" s="92">
        <v>29.416992000000004</v>
      </c>
      <c r="AK23" s="92"/>
      <c r="AL23" s="93"/>
      <c r="AM23" s="9"/>
      <c r="AN23" s="9"/>
    </row>
    <row r="24" spans="1:40" ht="15" customHeight="1" x14ac:dyDescent="0.25">
      <c r="B24" s="7"/>
      <c r="C24" s="17" t="s">
        <v>58</v>
      </c>
      <c r="D24" s="39"/>
      <c r="E24" s="39"/>
      <c r="F24" s="40"/>
      <c r="G24" s="11"/>
      <c r="H24" s="41">
        <f t="shared" si="0"/>
        <v>3097.8966480000004</v>
      </c>
      <c r="I24" s="41">
        <f t="shared" si="1"/>
        <v>2795.0947199999996</v>
      </c>
      <c r="J24" s="21">
        <f t="shared" si="2"/>
        <v>2136.7459636363633</v>
      </c>
      <c r="M24" s="7"/>
      <c r="N24" s="8" t="s">
        <v>12</v>
      </c>
      <c r="O24" s="7"/>
      <c r="P24" s="7"/>
      <c r="Q24" s="7"/>
      <c r="R24" s="7"/>
      <c r="S24" s="7"/>
      <c r="T24" s="7"/>
      <c r="U24"/>
      <c r="V24" s="53" t="s">
        <v>59</v>
      </c>
      <c r="W24" s="50">
        <f>(J27+H32)/J7</f>
        <v>0.45114468085106385</v>
      </c>
      <c r="X24" s="9"/>
      <c r="Y24" s="9"/>
      <c r="Z24" s="9"/>
      <c r="AA24" s="9"/>
      <c r="AB24" s="55" t="s">
        <v>12</v>
      </c>
      <c r="AC24" s="7" t="s">
        <v>114</v>
      </c>
      <c r="AD24" s="9"/>
      <c r="AE24" s="48">
        <v>0.83</v>
      </c>
      <c r="AF24" s="79">
        <v>1</v>
      </c>
      <c r="AG24" s="81">
        <v>50</v>
      </c>
      <c r="AH24" s="81">
        <v>150</v>
      </c>
      <c r="AI24" s="86" t="s">
        <v>115</v>
      </c>
      <c r="AJ24" s="87">
        <v>3097.8966480000004</v>
      </c>
      <c r="AK24" s="87">
        <v>2795.0947199999996</v>
      </c>
      <c r="AL24" s="88">
        <v>2136.7459636363633</v>
      </c>
      <c r="AM24" s="9"/>
      <c r="AN24" s="9"/>
    </row>
    <row r="25" spans="1:40" ht="15" customHeight="1" x14ac:dyDescent="0.25">
      <c r="B25" s="7"/>
      <c r="C25" s="13" t="s">
        <v>60</v>
      </c>
      <c r="D25" s="33"/>
      <c r="E25" s="33"/>
      <c r="F25" s="16"/>
      <c r="G25" s="14"/>
      <c r="H25" s="34">
        <f t="shared" si="0"/>
        <v>71.28</v>
      </c>
      <c r="I25" s="34">
        <f t="shared" si="1"/>
        <v>0</v>
      </c>
      <c r="J25" s="15">
        <f t="shared" si="2"/>
        <v>0</v>
      </c>
      <c r="M25" s="7"/>
      <c r="N25" s="8" t="s">
        <v>12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55" t="s">
        <v>12</v>
      </c>
      <c r="AC25" s="7" t="s">
        <v>116</v>
      </c>
      <c r="AD25" s="9"/>
      <c r="AE25" s="48">
        <v>0.5</v>
      </c>
      <c r="AF25" s="79">
        <v>1</v>
      </c>
      <c r="AG25" s="80">
        <v>100</v>
      </c>
      <c r="AH25" s="80">
        <v>100</v>
      </c>
      <c r="AI25" s="82" t="s">
        <v>117</v>
      </c>
      <c r="AJ25" s="95">
        <v>71.28</v>
      </c>
      <c r="AK25" s="95"/>
      <c r="AL25" s="96"/>
      <c r="AM25" s="9"/>
      <c r="AN25" s="9"/>
    </row>
    <row r="26" spans="1:40" ht="15" customHeight="1" x14ac:dyDescent="0.25">
      <c r="B26" s="7"/>
      <c r="C26" s="17" t="s">
        <v>61</v>
      </c>
      <c r="D26" s="39"/>
      <c r="E26" s="39"/>
      <c r="F26" s="40"/>
      <c r="G26" s="11"/>
      <c r="H26" s="41">
        <f t="shared" si="0"/>
        <v>95.04</v>
      </c>
      <c r="I26" s="41">
        <f t="shared" si="1"/>
        <v>0</v>
      </c>
      <c r="J26" s="21">
        <f t="shared" si="2"/>
        <v>0</v>
      </c>
      <c r="M26" s="7"/>
      <c r="N26" s="8" t="s">
        <v>12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55" t="s">
        <v>12</v>
      </c>
      <c r="AC26" s="7" t="s">
        <v>118</v>
      </c>
      <c r="AD26" s="9"/>
      <c r="AE26" s="48">
        <v>0.4</v>
      </c>
      <c r="AF26" s="79">
        <v>1</v>
      </c>
      <c r="AG26" s="80">
        <v>100</v>
      </c>
      <c r="AH26" s="80">
        <v>100</v>
      </c>
      <c r="AI26" s="90" t="s">
        <v>119</v>
      </c>
      <c r="AJ26" s="92">
        <v>95.04</v>
      </c>
      <c r="AK26" s="92"/>
      <c r="AL26" s="93"/>
      <c r="AM26" s="9"/>
      <c r="AN26" s="9"/>
    </row>
    <row r="27" spans="1:40" ht="15" customHeight="1" x14ac:dyDescent="0.25">
      <c r="B27" s="7"/>
      <c r="C27" s="13" t="s">
        <v>62</v>
      </c>
      <c r="D27" s="33"/>
      <c r="E27" s="33"/>
      <c r="F27" s="16"/>
      <c r="G27" s="14"/>
      <c r="H27" s="34">
        <f t="shared" si="0"/>
        <v>293.7</v>
      </c>
      <c r="I27" s="34">
        <f t="shared" si="1"/>
        <v>279</v>
      </c>
      <c r="J27" s="15">
        <f t="shared" si="2"/>
        <v>256.36363636363637</v>
      </c>
      <c r="M27" s="7"/>
      <c r="N27" s="8" t="s">
        <v>12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55" t="s">
        <v>12</v>
      </c>
      <c r="AC27" s="7" t="s">
        <v>120</v>
      </c>
      <c r="AD27" s="9"/>
      <c r="AE27" s="48">
        <v>0.625</v>
      </c>
      <c r="AF27" s="79">
        <v>0.5</v>
      </c>
      <c r="AG27" s="80">
        <v>100</v>
      </c>
      <c r="AH27" s="80">
        <v>100</v>
      </c>
      <c r="AI27" s="86" t="s">
        <v>121</v>
      </c>
      <c r="AJ27" s="87">
        <v>293.7</v>
      </c>
      <c r="AK27" s="87">
        <v>279</v>
      </c>
      <c r="AL27" s="88">
        <v>256.36363636363637</v>
      </c>
      <c r="AM27" s="9"/>
      <c r="AN27" s="9"/>
    </row>
    <row r="28" spans="1:40" ht="15" customHeight="1" x14ac:dyDescent="0.25">
      <c r="B28" s="7"/>
      <c r="C28" s="17" t="s">
        <v>63</v>
      </c>
      <c r="D28" s="39"/>
      <c r="E28" s="39"/>
      <c r="F28" s="40"/>
      <c r="G28" s="11"/>
      <c r="H28" s="41">
        <f t="shared" si="0"/>
        <v>1.4031600000000004</v>
      </c>
      <c r="I28" s="41">
        <f t="shared" si="1"/>
        <v>0</v>
      </c>
      <c r="J28" s="21">
        <f t="shared" si="2"/>
        <v>0</v>
      </c>
      <c r="M28" s="7"/>
      <c r="N28" s="8" t="s">
        <v>12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55" t="s">
        <v>12</v>
      </c>
      <c r="AC28" s="7" t="s">
        <v>122</v>
      </c>
      <c r="AD28" s="9"/>
      <c r="AE28" s="48">
        <v>1E-3</v>
      </c>
      <c r="AF28" s="79">
        <v>1</v>
      </c>
      <c r="AG28" s="80">
        <v>100</v>
      </c>
      <c r="AH28" s="80">
        <v>100</v>
      </c>
      <c r="AI28" s="86" t="s">
        <v>123</v>
      </c>
      <c r="AJ28" s="87">
        <v>1.4031600000000004</v>
      </c>
      <c r="AK28" s="87"/>
      <c r="AL28" s="88"/>
      <c r="AM28" s="9"/>
      <c r="AN28" s="9"/>
    </row>
    <row r="29" spans="1:40" ht="15" customHeight="1" x14ac:dyDescent="0.25">
      <c r="A29" s="9"/>
      <c r="B29" s="7"/>
      <c r="C29" s="17" t="s">
        <v>65</v>
      </c>
      <c r="D29" s="39"/>
      <c r="E29" s="39"/>
      <c r="F29" s="40"/>
      <c r="G29" s="11"/>
      <c r="H29" s="41">
        <f t="shared" si="0"/>
        <v>341.75401919999996</v>
      </c>
      <c r="I29" s="41">
        <f t="shared" si="1"/>
        <v>251.34105599999998</v>
      </c>
      <c r="J29" s="21">
        <f t="shared" si="2"/>
        <v>221.32590545454548</v>
      </c>
      <c r="M29" s="7"/>
      <c r="N29" s="8" t="s">
        <v>12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55" t="s">
        <v>12</v>
      </c>
      <c r="AC29" s="7" t="s">
        <v>124</v>
      </c>
      <c r="AD29" s="9"/>
      <c r="AE29" s="48">
        <v>0.39100000000000001</v>
      </c>
      <c r="AF29" s="79">
        <v>1</v>
      </c>
      <c r="AG29" s="81">
        <v>60</v>
      </c>
      <c r="AH29" s="80">
        <v>100</v>
      </c>
      <c r="AI29" s="86" t="s">
        <v>125</v>
      </c>
      <c r="AJ29" s="87">
        <v>341.75401919999996</v>
      </c>
      <c r="AK29" s="87">
        <v>251.34105599999998</v>
      </c>
      <c r="AL29" s="88">
        <v>221.32590545454548</v>
      </c>
      <c r="AM29" s="9"/>
      <c r="AN29" s="9"/>
    </row>
    <row r="30" spans="1:40" ht="15" customHeight="1" x14ac:dyDescent="0.25">
      <c r="B30" s="7"/>
      <c r="C30" s="18" t="s">
        <v>64</v>
      </c>
      <c r="D30" s="42"/>
      <c r="E30" s="42"/>
      <c r="F30" s="12"/>
      <c r="G30" s="19"/>
      <c r="H30" s="43">
        <f t="shared" si="0"/>
        <v>41.729059938461532</v>
      </c>
      <c r="I30" s="43">
        <f t="shared" si="1"/>
        <v>13.853146405594387</v>
      </c>
      <c r="J30" s="20">
        <f t="shared" si="2"/>
        <v>0</v>
      </c>
      <c r="M30" s="7"/>
      <c r="N30" s="8" t="s">
        <v>12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55" t="s">
        <v>12</v>
      </c>
      <c r="AC30" s="7" t="s">
        <v>126</v>
      </c>
      <c r="AD30" s="9"/>
      <c r="AE30" s="48">
        <f>6/13</f>
        <v>0.46153846153846156</v>
      </c>
      <c r="AF30" s="79">
        <v>1</v>
      </c>
      <c r="AG30" s="80">
        <v>100</v>
      </c>
      <c r="AH30" s="80">
        <v>100</v>
      </c>
      <c r="AI30" s="86" t="s">
        <v>127</v>
      </c>
      <c r="AJ30" s="89">
        <v>41.729059938461532</v>
      </c>
      <c r="AK30" s="89">
        <v>13.853146405594387</v>
      </c>
      <c r="AL30" s="88"/>
      <c r="AM30" s="9"/>
      <c r="AN30" s="9"/>
    </row>
    <row r="31" spans="1:40" ht="15" customHeight="1" x14ac:dyDescent="0.25">
      <c r="A31" s="9"/>
      <c r="B31" s="7"/>
      <c r="C31" s="13" t="s">
        <v>66</v>
      </c>
      <c r="D31" s="33"/>
      <c r="E31" s="33"/>
      <c r="F31" s="16"/>
      <c r="G31" s="14"/>
      <c r="H31" s="34">
        <f t="shared" si="0"/>
        <v>62.622720000000093</v>
      </c>
      <c r="I31" s="34">
        <f t="shared" si="1"/>
        <v>73.864145454545408</v>
      </c>
      <c r="J31" s="15">
        <f t="shared" si="2"/>
        <v>0</v>
      </c>
      <c r="M31" s="7"/>
      <c r="N31" s="8" t="s">
        <v>12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55" t="s">
        <v>12</v>
      </c>
      <c r="AC31" s="7" t="s">
        <v>128</v>
      </c>
      <c r="AD31" s="9"/>
      <c r="AE31" s="48">
        <v>0.8</v>
      </c>
      <c r="AF31" s="79">
        <v>1</v>
      </c>
      <c r="AG31" s="81">
        <v>90</v>
      </c>
      <c r="AH31" s="80">
        <v>100</v>
      </c>
      <c r="AI31" s="82" t="s">
        <v>129</v>
      </c>
      <c r="AJ31" s="95">
        <v>62.622720000000093</v>
      </c>
      <c r="AK31" s="95">
        <v>73.864145454545408</v>
      </c>
      <c r="AL31" s="96"/>
      <c r="AM31" s="9"/>
      <c r="AN31" s="9"/>
    </row>
    <row r="32" spans="1:40" ht="15" customHeight="1" x14ac:dyDescent="0.25">
      <c r="A32" s="9"/>
      <c r="B32" s="7"/>
      <c r="C32" s="18" t="s">
        <v>67</v>
      </c>
      <c r="D32" s="42"/>
      <c r="E32" s="42"/>
      <c r="F32" s="12"/>
      <c r="G32" s="19"/>
      <c r="H32" s="43">
        <f t="shared" si="0"/>
        <v>113.73905454545456</v>
      </c>
      <c r="I32" s="43">
        <f t="shared" si="1"/>
        <v>0</v>
      </c>
      <c r="J32" s="20">
        <f t="shared" si="2"/>
        <v>0</v>
      </c>
      <c r="M32" s="7"/>
      <c r="N32" s="8" t="s">
        <v>12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55" t="s">
        <v>12</v>
      </c>
      <c r="AC32" s="7" t="s">
        <v>130</v>
      </c>
      <c r="AD32" s="9"/>
      <c r="AE32" s="48">
        <v>0.6</v>
      </c>
      <c r="AF32" s="79">
        <v>1</v>
      </c>
      <c r="AG32" s="80">
        <v>100</v>
      </c>
      <c r="AH32" s="80">
        <v>100</v>
      </c>
      <c r="AI32" s="90" t="s">
        <v>131</v>
      </c>
      <c r="AJ32" s="92">
        <v>113.73905454545456</v>
      </c>
      <c r="AK32" s="97"/>
      <c r="AL32" s="98"/>
      <c r="AM32" s="51"/>
      <c r="AN32" s="51"/>
    </row>
    <row r="33" spans="1:39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54"/>
      <c r="K33" s="54"/>
      <c r="L33" s="54"/>
      <c r="M33" s="54"/>
      <c r="N33" s="8" t="s">
        <v>12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12</v>
      </c>
    </row>
    <row r="34" spans="1:39" ht="15" customHeight="1" x14ac:dyDescent="0.25">
      <c r="A34" s="9" t="s">
        <v>69</v>
      </c>
      <c r="B34" s="9"/>
      <c r="C34" s="9" t="s">
        <v>132</v>
      </c>
      <c r="D34" s="9"/>
      <c r="E34" s="9"/>
      <c r="F34" s="9"/>
      <c r="G34" s="9"/>
      <c r="H34" s="9"/>
      <c r="I34" s="9"/>
      <c r="J34" s="54"/>
      <c r="K34" s="54"/>
      <c r="L34" s="54"/>
      <c r="M34" s="54"/>
      <c r="N34" s="8" t="s">
        <v>12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12</v>
      </c>
    </row>
    <row r="35" spans="1:39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54"/>
      <c r="K35" s="54"/>
      <c r="L35" s="54"/>
      <c r="M35" s="54"/>
      <c r="N35" s="8" t="s">
        <v>12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12</v>
      </c>
    </row>
    <row r="36" spans="1:39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54"/>
      <c r="K36" s="54"/>
      <c r="L36" s="54"/>
      <c r="M36" s="54"/>
      <c r="N36" s="8" t="s">
        <v>12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12</v>
      </c>
    </row>
    <row r="37" spans="1:39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54"/>
      <c r="K37" s="54"/>
      <c r="L37" s="54"/>
      <c r="M37" s="54"/>
      <c r="N37" s="8" t="s">
        <v>12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12</v>
      </c>
    </row>
    <row r="38" spans="1:39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54"/>
      <c r="K38" s="54"/>
      <c r="L38" s="54"/>
      <c r="M38" s="54"/>
      <c r="N38" s="8" t="s">
        <v>12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12</v>
      </c>
    </row>
    <row r="39" spans="1:3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54"/>
      <c r="K39" s="54"/>
      <c r="L39" s="54"/>
      <c r="M39" s="54"/>
      <c r="N39" s="8" t="s">
        <v>12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12</v>
      </c>
    </row>
    <row r="40" spans="1:39" ht="15" customHeight="1" x14ac:dyDescent="0.25">
      <c r="N40" s="8" t="s">
        <v>12</v>
      </c>
      <c r="AB40" s="8" t="s">
        <v>12</v>
      </c>
    </row>
    <row r="41" spans="1:39" ht="15" customHeight="1" x14ac:dyDescent="0.25">
      <c r="N41" s="8" t="s">
        <v>12</v>
      </c>
      <c r="AB41" s="8" t="s">
        <v>12</v>
      </c>
    </row>
    <row r="42" spans="1:39" ht="15" customHeight="1" x14ac:dyDescent="0.25">
      <c r="N42" s="8" t="s">
        <v>12</v>
      </c>
      <c r="AB42" s="8" t="s">
        <v>12</v>
      </c>
    </row>
    <row r="43" spans="1:39" ht="15" customHeight="1" x14ac:dyDescent="0.25">
      <c r="N43" s="8" t="s">
        <v>12</v>
      </c>
      <c r="AB43" s="8" t="s">
        <v>12</v>
      </c>
    </row>
    <row r="44" spans="1:39" ht="15" customHeight="1" x14ac:dyDescent="0.25">
      <c r="N44" s="8" t="s">
        <v>12</v>
      </c>
      <c r="AB44" s="8" t="s">
        <v>12</v>
      </c>
    </row>
    <row r="45" spans="1:39" ht="15" customHeight="1" x14ac:dyDescent="0.25">
      <c r="N45" s="8" t="s">
        <v>12</v>
      </c>
      <c r="AB45" s="8" t="s">
        <v>12</v>
      </c>
    </row>
    <row r="46" spans="1:39" ht="15" customHeight="1" x14ac:dyDescent="0.25">
      <c r="N46" s="8" t="s">
        <v>12</v>
      </c>
      <c r="AB46" s="8" t="s">
        <v>12</v>
      </c>
    </row>
    <row r="47" spans="1:39" ht="15" customHeight="1" x14ac:dyDescent="0.25">
      <c r="N47" s="8" t="s">
        <v>12</v>
      </c>
      <c r="AB47" s="8" t="s">
        <v>12</v>
      </c>
    </row>
    <row r="48" spans="1:39" ht="15" customHeight="1" x14ac:dyDescent="0.25">
      <c r="N48" s="8" t="s">
        <v>12</v>
      </c>
      <c r="AB48" s="55" t="s">
        <v>12</v>
      </c>
      <c r="AI48" s="101"/>
      <c r="AJ48" s="101"/>
      <c r="AK48" s="101"/>
      <c r="AL48" s="101"/>
      <c r="AM48" s="101"/>
    </row>
    <row r="49" spans="14:32" ht="15" customHeight="1" x14ac:dyDescent="0.25">
      <c r="N49" s="8" t="s">
        <v>12</v>
      </c>
      <c r="AB49" s="55" t="s">
        <v>12</v>
      </c>
    </row>
    <row r="50" spans="14:32" ht="15" customHeight="1" x14ac:dyDescent="0.25">
      <c r="N50" s="8" t="s">
        <v>12</v>
      </c>
      <c r="AB50" s="55" t="s">
        <v>12</v>
      </c>
    </row>
    <row r="51" spans="14:32" ht="15" customHeight="1" x14ac:dyDescent="0.25">
      <c r="N51" s="8" t="s">
        <v>12</v>
      </c>
      <c r="AB51" s="55" t="s">
        <v>12</v>
      </c>
    </row>
    <row r="52" spans="14:32" ht="15" customHeight="1" x14ac:dyDescent="0.25">
      <c r="N52" s="8" t="s">
        <v>12</v>
      </c>
      <c r="AB52" s="55" t="s">
        <v>12</v>
      </c>
    </row>
    <row r="53" spans="14:32" ht="15" customHeight="1" x14ac:dyDescent="0.25">
      <c r="N53" s="8" t="s">
        <v>12</v>
      </c>
      <c r="AB53" s="55" t="s">
        <v>12</v>
      </c>
    </row>
    <row r="54" spans="14:32" ht="15" customHeight="1" x14ac:dyDescent="0.25">
      <c r="N54" s="8" t="s">
        <v>12</v>
      </c>
      <c r="AB54" s="55" t="s">
        <v>12</v>
      </c>
    </row>
    <row r="55" spans="14:32" ht="15" customHeight="1" x14ac:dyDescent="0.25">
      <c r="N55" s="8" t="s">
        <v>12</v>
      </c>
      <c r="AB55" s="55" t="s">
        <v>12</v>
      </c>
    </row>
    <row r="56" spans="14:32" ht="15" customHeight="1" x14ac:dyDescent="0.25">
      <c r="N56" s="8" t="s">
        <v>12</v>
      </c>
      <c r="AB56" s="55" t="s">
        <v>12</v>
      </c>
    </row>
    <row r="57" spans="14:32" ht="15" customHeight="1" x14ac:dyDescent="0.25">
      <c r="N57" s="8" t="s">
        <v>12</v>
      </c>
      <c r="AB57" s="55" t="s">
        <v>12</v>
      </c>
    </row>
    <row r="58" spans="14:32" ht="15" customHeight="1" x14ac:dyDescent="0.25">
      <c r="N58" s="8" t="s">
        <v>12</v>
      </c>
      <c r="AB58" s="55" t="s">
        <v>12</v>
      </c>
    </row>
    <row r="59" spans="14:32" ht="15" customHeight="1" x14ac:dyDescent="0.25">
      <c r="N59" s="8" t="s">
        <v>12</v>
      </c>
      <c r="AB59" s="55" t="s">
        <v>12</v>
      </c>
      <c r="AC59" s="9"/>
      <c r="AD59" s="9"/>
      <c r="AE59" s="9"/>
      <c r="AF59" s="9"/>
    </row>
    <row r="60" spans="14:32" ht="15" customHeight="1" x14ac:dyDescent="0.25"/>
    <row r="61" spans="14:32" ht="15" customHeight="1" x14ac:dyDescent="0.25"/>
    <row r="62" spans="14:32" ht="15" customHeight="1" x14ac:dyDescent="0.25"/>
    <row r="63" spans="14:32" ht="15" customHeight="1" x14ac:dyDescent="0.25"/>
    <row r="64" spans="14:32" ht="15" customHeight="1" x14ac:dyDescent="0.25"/>
  </sheetData>
  <conditionalFormatting sqref="AF6:AF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TOC</vt:lpstr>
      <vt:lpstr>IRIS-1</vt:lpstr>
      <vt:lpstr>IRIS-2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2021-10-24T02:04:36Z</dcterms:modified>
</cp:coreProperties>
</file>