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RIS-1" sheetId="7" r:id="rId2"/>
    <sheet name="IRIS-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5" l="1"/>
  <c r="W23" i="5"/>
  <c r="T23" i="5"/>
  <c r="T22" i="5"/>
  <c r="T21" i="5" s="1"/>
  <c r="P21" i="5" s="1"/>
  <c r="Q21" i="5" s="1"/>
  <c r="P20" i="5"/>
  <c r="Q20" i="5" s="1"/>
  <c r="P19" i="5"/>
  <c r="Q19" i="5" s="1"/>
  <c r="Z4" i="5" s="1"/>
  <c r="P17" i="5"/>
  <c r="Q17" i="5" s="1"/>
  <c r="Q16" i="5"/>
  <c r="P16" i="5"/>
  <c r="P14" i="5"/>
  <c r="Q14" i="5" s="1"/>
  <c r="T13" i="5"/>
  <c r="P13" i="5"/>
  <c r="Q13" i="5" s="1"/>
  <c r="T12" i="5"/>
  <c r="P12" i="5"/>
  <c r="Q12" i="5" s="1"/>
  <c r="AA11" i="5"/>
  <c r="T11" i="5"/>
  <c r="P11" i="5" s="1"/>
  <c r="Q11" i="5" s="1"/>
  <c r="T9" i="5"/>
  <c r="P9" i="5" s="1"/>
  <c r="Q9" i="5" s="1"/>
  <c r="P8" i="5"/>
  <c r="Q8" i="5" s="1"/>
  <c r="P7" i="5"/>
  <c r="Q7" i="5" s="1"/>
  <c r="Q6" i="5"/>
  <c r="P6" i="5"/>
  <c r="W24" i="7"/>
  <c r="W23" i="7"/>
  <c r="T23" i="7"/>
  <c r="T22" i="7"/>
  <c r="T21" i="7" s="1"/>
  <c r="P21" i="7" s="1"/>
  <c r="Q21" i="7" s="1"/>
  <c r="Q20" i="7"/>
  <c r="P20" i="7"/>
  <c r="P19" i="7"/>
  <c r="Q19" i="7" s="1"/>
  <c r="Z4" i="7" s="1"/>
  <c r="P17" i="7"/>
  <c r="Q17" i="7" s="1"/>
  <c r="Q16" i="7"/>
  <c r="P16" i="7"/>
  <c r="P14" i="7"/>
  <c r="Q14" i="7" s="1"/>
  <c r="T13" i="7"/>
  <c r="P13" i="7"/>
  <c r="Q13" i="7" s="1"/>
  <c r="T12" i="7"/>
  <c r="Q12" i="7"/>
  <c r="P12" i="7"/>
  <c r="AA11" i="7"/>
  <c r="T11" i="7"/>
  <c r="P11" i="7" s="1"/>
  <c r="Q11" i="7" s="1"/>
  <c r="T9" i="7"/>
  <c r="P9" i="7" s="1"/>
  <c r="Q9" i="7" s="1"/>
  <c r="P8" i="7"/>
  <c r="Q8" i="7" s="1"/>
  <c r="Q7" i="7"/>
  <c r="P7" i="7"/>
  <c r="Q6" i="7"/>
  <c r="P6" i="7"/>
  <c r="Y21" i="5" l="1"/>
  <c r="Y17" i="5"/>
  <c r="Y6" i="5"/>
  <c r="X4" i="5"/>
  <c r="Y13" i="5"/>
  <c r="Y7" i="5"/>
  <c r="Y21" i="7"/>
  <c r="Y17" i="7"/>
  <c r="Y13" i="7"/>
  <c r="Y6" i="7"/>
  <c r="X4" i="7"/>
  <c r="Y7" i="7"/>
  <c r="J32" i="5" l="1"/>
  <c r="I32" i="5"/>
  <c r="J31" i="5"/>
  <c r="AE30" i="5"/>
  <c r="J30" i="5"/>
  <c r="J28" i="5"/>
  <c r="I28" i="5"/>
  <c r="H27" i="5"/>
  <c r="J26" i="5"/>
  <c r="I26" i="5"/>
  <c r="J25" i="5"/>
  <c r="I25" i="5"/>
  <c r="J23" i="5"/>
  <c r="I23" i="5"/>
  <c r="J22" i="5"/>
  <c r="I22" i="5"/>
  <c r="AE12" i="5"/>
  <c r="H6" i="5"/>
  <c r="I18" i="5" l="1"/>
  <c r="I6" i="5"/>
  <c r="H22" i="5"/>
  <c r="H7" i="5"/>
  <c r="H23" i="5"/>
  <c r="I12" i="5"/>
  <c r="I11" i="5" l="1"/>
  <c r="I14" i="5"/>
  <c r="I13" i="5"/>
  <c r="I10" i="5"/>
  <c r="I15" i="5"/>
  <c r="H28" i="5"/>
  <c r="H19" i="5"/>
  <c r="H8" i="5"/>
  <c r="H18" i="5"/>
  <c r="H9" i="5"/>
  <c r="H29" i="5"/>
  <c r="H30" i="5"/>
  <c r="J6" i="5"/>
  <c r="J18" i="5"/>
  <c r="H15" i="5"/>
  <c r="H10" i="5"/>
  <c r="H12" i="5"/>
  <c r="H11" i="5"/>
  <c r="H14" i="5"/>
  <c r="H13" i="5"/>
  <c r="H25" i="5"/>
  <c r="H16" i="5"/>
  <c r="I7" i="5"/>
  <c r="I19" i="5"/>
  <c r="J11" i="5" l="1"/>
  <c r="H31" i="5"/>
  <c r="I29" i="5"/>
  <c r="J10" i="5"/>
  <c r="J15" i="5"/>
  <c r="H21" i="5"/>
  <c r="I27" i="5"/>
  <c r="H26" i="5"/>
  <c r="J19" i="5"/>
  <c r="J7" i="5"/>
  <c r="J29" i="5"/>
  <c r="J9" i="5"/>
  <c r="I9" i="5"/>
  <c r="J8" i="5"/>
  <c r="I8" i="5"/>
  <c r="I20" i="5"/>
  <c r="I17" i="5"/>
  <c r="I24" i="5"/>
  <c r="I21" i="5"/>
  <c r="I16" i="5"/>
  <c r="H17" i="5"/>
  <c r="J12" i="5"/>
  <c r="J16" i="5" l="1"/>
  <c r="J27" i="5"/>
  <c r="H24" i="5"/>
  <c r="J20" i="5"/>
  <c r="J17" i="5"/>
  <c r="I31" i="5"/>
  <c r="J21" i="5"/>
  <c r="J24" i="5"/>
  <c r="J13" i="5"/>
  <c r="H20" i="5"/>
  <c r="I30" i="5"/>
  <c r="J14" i="5"/>
  <c r="H32" i="5" l="1"/>
</calcChain>
</file>

<file path=xl/sharedStrings.xml><?xml version="1.0" encoding="utf-8"?>
<sst xmlns="http://schemas.openxmlformats.org/spreadsheetml/2006/main" count="570" uniqueCount="133">
  <si>
    <t>Question</t>
  </si>
  <si>
    <t>Sheet</t>
  </si>
  <si>
    <t>Type</t>
  </si>
  <si>
    <t>Reading:</t>
  </si>
  <si>
    <t>Model:</t>
  </si>
  <si>
    <t>Problem Type:</t>
  </si>
  <si>
    <t>Given</t>
  </si>
  <si>
    <t>Exam 6U: IRIS Ratios</t>
  </si>
  <si>
    <t>IRIS-1</t>
  </si>
  <si>
    <t>IRIS-2</t>
  </si>
  <si>
    <t>Return to TOC</t>
  </si>
  <si>
    <t>NAIC.IRIS</t>
  </si>
  <si>
    <t>|</t>
  </si>
  <si>
    <t>Random</t>
  </si>
  <si>
    <t>IRIS ratios</t>
  </si>
  <si>
    <t>CY</t>
  </si>
  <si>
    <t>CY-1</t>
  </si>
  <si>
    <t>CY-2</t>
  </si>
  <si>
    <t>Gross Premiums Earned</t>
  </si>
  <si>
    <t>IRIS 1</t>
  </si>
  <si>
    <t>Net Premiums Earned</t>
  </si>
  <si>
    <t>IRIS 2</t>
  </si>
  <si>
    <t>Gross Premiums Written</t>
  </si>
  <si>
    <t>IRIS 3</t>
  </si>
  <si>
    <t>Net Premiums Written</t>
  </si>
  <si>
    <t>IRIS 4</t>
  </si>
  <si>
    <t>----&gt;</t>
  </si>
  <si>
    <t>surplus aid</t>
  </si>
  <si>
    <t>Net Investment income earned</t>
  </si>
  <si>
    <t>Reinsurance Premiums ceded: Affiliates</t>
  </si>
  <si>
    <t>IRIS 5</t>
  </si>
  <si>
    <t>LR</t>
  </si>
  <si>
    <t>Reinsurance Premiums ceded: Non Affiliates</t>
  </si>
  <si>
    <t>IRIS 6</t>
  </si>
  <si>
    <t>ER</t>
  </si>
  <si>
    <t>Reinsurance Ceded Commissions</t>
  </si>
  <si>
    <t>IRIS 7</t>
  </si>
  <si>
    <t>IIR</t>
  </si>
  <si>
    <t>Reinsurance Ceded Contingent Commissions</t>
  </si>
  <si>
    <t>IRIS 8</t>
  </si>
  <si>
    <t>Total Other income</t>
  </si>
  <si>
    <t>Net Losses &amp; LAE Incurred</t>
  </si>
  <si>
    <t>IRIS 9</t>
  </si>
  <si>
    <t>Dividends to policyholders</t>
  </si>
  <si>
    <t>IRIS 10</t>
  </si>
  <si>
    <t>Other underwriting expenses incurred</t>
  </si>
  <si>
    <t>Cash &amp; Invested Assets</t>
  </si>
  <si>
    <t>IRIS 11</t>
  </si>
  <si>
    <t>Investment Income Due &amp; Accured</t>
  </si>
  <si>
    <t>IRIS 12</t>
  </si>
  <si>
    <t>Liquid Assets</t>
  </si>
  <si>
    <t>IRIS 13</t>
  </si>
  <si>
    <t>deficiency</t>
  </si>
  <si>
    <t>Agents Balances in Collection</t>
  </si>
  <si>
    <t>required</t>
  </si>
  <si>
    <t>Agents Balances Deferred</t>
  </si>
  <si>
    <t>avg(R/P)</t>
  </si>
  <si>
    <t xml:space="preserve">CY - 1: </t>
  </si>
  <si>
    <t>Total Liabilities</t>
  </si>
  <si>
    <t xml:space="preserve">CY - 2: </t>
  </si>
  <si>
    <t>Ceded UEPR: Affiliates</t>
  </si>
  <si>
    <t>Ceded UEPR: Non Affiliates</t>
  </si>
  <si>
    <t>Loss &amp; LAE Reserves</t>
  </si>
  <si>
    <t>Borrowed Money</t>
  </si>
  <si>
    <t>Surplus Paid In</t>
  </si>
  <si>
    <t>Surplus</t>
  </si>
  <si>
    <t>1yr Reserve Development</t>
  </si>
  <si>
    <t>2yr Reserve Development</t>
  </si>
  <si>
    <t>Calculating IRIS Ratios 1-13</t>
  </si>
  <si>
    <t>Find</t>
  </si>
  <si>
    <t>Problem Creation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</si>
  <si>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</si>
  <si>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</si>
  <si>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</si>
  <si>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</si>
  <si>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generator</t>
  </si>
  <si>
    <t>m</t>
  </si>
  <si>
    <t>low</t>
  </si>
  <si>
    <t>high</t>
  </si>
  <si>
    <t xml:space="preserve">M = </t>
  </si>
  <si>
    <t>--</t>
  </si>
  <si>
    <t>growth</t>
  </si>
  <si>
    <t>GWP</t>
  </si>
  <si>
    <t>ceding %</t>
  </si>
  <si>
    <t>NWP</t>
  </si>
  <si>
    <t>GEP</t>
  </si>
  <si>
    <t>NEP</t>
  </si>
  <si>
    <t>InvInc/GWP</t>
  </si>
  <si>
    <t>NIE</t>
  </si>
  <si>
    <t>A/N split</t>
  </si>
  <si>
    <t>CWPA</t>
  </si>
  <si>
    <t>CWPN</t>
  </si>
  <si>
    <t>comm</t>
  </si>
  <si>
    <t>CC</t>
  </si>
  <si>
    <t>c/cont split</t>
  </si>
  <si>
    <t>CCcont</t>
  </si>
  <si>
    <t>TOI/InvInc</t>
  </si>
  <si>
    <t>TOI</t>
  </si>
  <si>
    <t>L/NWP</t>
  </si>
  <si>
    <t>L</t>
  </si>
  <si>
    <t>Div/(NII+TOI)</t>
  </si>
  <si>
    <t>Div</t>
  </si>
  <si>
    <t>X/GWP</t>
  </si>
  <si>
    <t>X</t>
  </si>
  <si>
    <t>cash/GWP</t>
  </si>
  <si>
    <t>cash</t>
  </si>
  <si>
    <t>InvInc/Divs</t>
  </si>
  <si>
    <t>InvInc</t>
  </si>
  <si>
    <t>LiqAss/cash</t>
  </si>
  <si>
    <t>LiqAss</t>
  </si>
  <si>
    <t>AB_coll/GWP</t>
  </si>
  <si>
    <t>ABcoll</t>
  </si>
  <si>
    <t>AB_def/GWP</t>
  </si>
  <si>
    <t>ABdef</t>
  </si>
  <si>
    <t>TL/LiqAss</t>
  </si>
  <si>
    <t>TL</t>
  </si>
  <si>
    <t>CUEPR_A/CWP_A</t>
  </si>
  <si>
    <t>CUEPRA</t>
  </si>
  <si>
    <t>CUEPR_N/CWP_N</t>
  </si>
  <si>
    <t>CUEPRN</t>
  </si>
  <si>
    <t>reserves/NWP</t>
  </si>
  <si>
    <t>reserves</t>
  </si>
  <si>
    <t>B/cash</t>
  </si>
  <si>
    <t>B</t>
  </si>
  <si>
    <t>surplus/NWP</t>
  </si>
  <si>
    <t>surplus</t>
  </si>
  <si>
    <t>surplusPdIn/|chg(surplus)|</t>
  </si>
  <si>
    <t>surplusPdIn</t>
  </si>
  <si>
    <t>1yr/chg(L+LAE)</t>
  </si>
  <si>
    <t>Dev1</t>
  </si>
  <si>
    <t>2yr/chg(L+LAE)</t>
  </si>
  <si>
    <t>Dev2</t>
  </si>
  <si>
    <t>Calculate IRIS ratios 1 through 13 and state whether each is within its acceptable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</si>
</sst>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%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3" fontId="0" fillId="0" borderId="7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3" borderId="7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9" xfId="0" applyNumberFormat="1" applyFont="1" applyBorder="1"/>
    <xf numFmtId="0" fontId="0" fillId="0" borderId="10" xfId="0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3" xfId="0" applyFont="1" applyBorder="1"/>
    <xf numFmtId="3" fontId="0" fillId="3" borderId="3" xfId="0" applyNumberFormat="1" applyFont="1" applyFill="1" applyBorder="1"/>
    <xf numFmtId="0" fontId="0" fillId="0" borderId="0" xfId="0" applyAlignment="1">
      <alignment horizontal="center"/>
    </xf>
    <xf numFmtId="9" fontId="0" fillId="0" borderId="0" xfId="2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Border="1"/>
    <xf numFmtId="3" fontId="0" fillId="0" borderId="0" xfId="0" applyNumberFormat="1" applyFont="1" applyBorder="1"/>
    <xf numFmtId="3" fontId="0" fillId="3" borderId="0" xfId="0" applyNumberFormat="1" applyFont="1" applyFill="1" applyBorder="1"/>
    <xf numFmtId="0" fontId="0" fillId="0" borderId="1" xfId="0" applyFont="1" applyBorder="1"/>
    <xf numFmtId="3" fontId="0" fillId="3" borderId="1" xfId="0" applyNumberFormat="1" applyFont="1" applyFill="1" applyBorder="1"/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/>
    </xf>
    <xf numFmtId="3" fontId="1" fillId="0" borderId="0" xfId="0" applyNumberFormat="1" applyFont="1"/>
    <xf numFmtId="0" fontId="8" fillId="5" borderId="9" xfId="4" applyBorder="1"/>
    <xf numFmtId="0" fontId="8" fillId="5" borderId="10" xfId="4" applyBorder="1"/>
    <xf numFmtId="0" fontId="8" fillId="5" borderId="11" xfId="4" applyBorder="1"/>
    <xf numFmtId="0" fontId="9" fillId="6" borderId="9" xfId="5" applyBorder="1"/>
    <xf numFmtId="0" fontId="9" fillId="6" borderId="10" xfId="5" applyBorder="1"/>
    <xf numFmtId="0" fontId="9" fillId="6" borderId="11" xfId="5" applyBorder="1"/>
    <xf numFmtId="0" fontId="14" fillId="0" borderId="9" xfId="0" applyFont="1" applyBorder="1"/>
    <xf numFmtId="0" fontId="0" fillId="0" borderId="11" xfId="0" applyFont="1" applyBorder="1"/>
    <xf numFmtId="3" fontId="0" fillId="0" borderId="11" xfId="0" applyNumberFormat="1" applyBorder="1"/>
    <xf numFmtId="0" fontId="8" fillId="5" borderId="12" xfId="4" applyBorder="1" applyAlignment="1">
      <alignment horizontal="left"/>
    </xf>
    <xf numFmtId="0" fontId="8" fillId="5" borderId="12" xfId="4" applyBorder="1" applyAlignment="1">
      <alignment horizontal="center"/>
    </xf>
    <xf numFmtId="0" fontId="9" fillId="6" borderId="12" xfId="5" applyBorder="1" applyAlignment="1">
      <alignment horizontal="left"/>
    </xf>
    <xf numFmtId="0" fontId="9" fillId="6" borderId="12" xfId="5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0" fillId="7" borderId="0" xfId="6" applyNumberFormat="1" applyFont="1" applyAlignment="1">
      <alignment horizontal="center"/>
    </xf>
    <xf numFmtId="3" fontId="8" fillId="5" borderId="0" xfId="4" applyNumberFormat="1" applyAlignment="1">
      <alignment horizontal="center"/>
    </xf>
    <xf numFmtId="3" fontId="7" fillId="4" borderId="0" xfId="3" applyNumberFormat="1" applyAlignment="1">
      <alignment horizontal="center"/>
    </xf>
    <xf numFmtId="3" fontId="9" fillId="6" borderId="0" xfId="5" applyNumberFormat="1" applyAlignment="1">
      <alignment horizontal="center"/>
    </xf>
    <xf numFmtId="165" fontId="9" fillId="6" borderId="0" xfId="5" applyNumberFormat="1" applyAlignment="1">
      <alignment horizontal="center"/>
    </xf>
    <xf numFmtId="9" fontId="8" fillId="5" borderId="0" xfId="4" applyNumberFormat="1"/>
    <xf numFmtId="0" fontId="0" fillId="0" borderId="0" xfId="0" quotePrefix="1" applyFont="1" applyAlignment="1">
      <alignment horizontal="center"/>
    </xf>
    <xf numFmtId="166" fontId="0" fillId="0" borderId="0" xfId="2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3" fontId="1" fillId="0" borderId="2" xfId="0" applyNumberFormat="1" applyFont="1" applyBorder="1"/>
    <xf numFmtId="3" fontId="15" fillId="3" borderId="3" xfId="3" applyNumberFormat="1" applyFont="1" applyFill="1" applyBorder="1"/>
    <xf numFmtId="3" fontId="15" fillId="3" borderId="3" xfId="5" applyNumberFormat="1" applyFont="1" applyFill="1" applyBorder="1"/>
    <xf numFmtId="3" fontId="15" fillId="3" borderId="4" xfId="5" applyNumberFormat="1" applyFont="1" applyFill="1" applyBorder="1"/>
    <xf numFmtId="3" fontId="1" fillId="0" borderId="8" xfId="0" applyNumberFormat="1" applyFont="1" applyBorder="1"/>
    <xf numFmtId="3" fontId="15" fillId="3" borderId="0" xfId="0" applyNumberFormat="1" applyFont="1" applyFill="1" applyBorder="1"/>
    <xf numFmtId="3" fontId="15" fillId="3" borderId="7" xfId="0" applyNumberFormat="1" applyFont="1" applyFill="1" applyBorder="1"/>
    <xf numFmtId="3" fontId="15" fillId="3" borderId="0" xfId="5" applyNumberFormat="1" applyFont="1" applyFill="1" applyBorder="1"/>
    <xf numFmtId="3" fontId="1" fillId="0" borderId="5" xfId="0" applyNumberFormat="1" applyFont="1" applyBorder="1"/>
    <xf numFmtId="3" fontId="15" fillId="3" borderId="1" xfId="5" applyNumberFormat="1" applyFont="1" applyFill="1" applyBorder="1"/>
    <xf numFmtId="3" fontId="15" fillId="3" borderId="1" xfId="0" applyNumberFormat="1" applyFont="1" applyFill="1" applyBorder="1"/>
    <xf numFmtId="3" fontId="15" fillId="3" borderId="6" xfId="0" applyNumberFormat="1" applyFont="1" applyFill="1" applyBorder="1"/>
    <xf numFmtId="0" fontId="16" fillId="6" borderId="0" xfId="5" applyFont="1" applyAlignment="1">
      <alignment horizontal="center"/>
    </xf>
    <xf numFmtId="9" fontId="9" fillId="6" borderId="0" xfId="5" applyNumberFormat="1" applyAlignment="1">
      <alignment horizontal="center"/>
    </xf>
    <xf numFmtId="3" fontId="15" fillId="3" borderId="3" xfId="0" applyNumberFormat="1" applyFont="1" applyFill="1" applyBorder="1"/>
    <xf numFmtId="3" fontId="15" fillId="3" borderId="4" xfId="0" applyNumberFormat="1" applyFont="1" applyFill="1" applyBorder="1"/>
    <xf numFmtId="3" fontId="15" fillId="3" borderId="1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9" fillId="6" borderId="0" xfId="5" applyNumberFormat="1"/>
    <xf numFmtId="3" fontId="17" fillId="0" borderId="0" xfId="0" applyNumberFormat="1" applyFont="1"/>
    <xf numFmtId="3" fontId="13" fillId="0" borderId="0" xfId="0" quotePrefix="1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7">
    <cellStyle name="Accent2" xfId="6" builtinId="33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24" customWidth="1"/>
    <col min="3" max="3" width="58.28515625" style="2" bestFit="1" customWidth="1"/>
    <col min="4" max="16384" width="9.140625" style="1"/>
  </cols>
  <sheetData>
    <row r="5" spans="1:3" x14ac:dyDescent="0.25">
      <c r="A5" s="103" t="s">
        <v>7</v>
      </c>
      <c r="B5" s="103"/>
      <c r="C5" s="103"/>
    </row>
    <row r="6" spans="1:3" ht="21" customHeight="1" x14ac:dyDescent="0.25">
      <c r="A6" s="103"/>
      <c r="B6" s="103"/>
      <c r="C6" s="103"/>
    </row>
    <row r="8" spans="1:3" x14ac:dyDescent="0.25">
      <c r="A8" s="2"/>
      <c r="B8" s="22"/>
    </row>
    <row r="9" spans="1:3" x14ac:dyDescent="0.25">
      <c r="A9" s="3" t="s">
        <v>0</v>
      </c>
      <c r="B9" s="23" t="s">
        <v>1</v>
      </c>
      <c r="C9" s="23" t="s">
        <v>2</v>
      </c>
    </row>
    <row r="10" spans="1:3" x14ac:dyDescent="0.25">
      <c r="A10" s="10">
        <v>1</v>
      </c>
      <c r="B10" s="22" t="s">
        <v>8</v>
      </c>
      <c r="C10" s="2" t="s">
        <v>68</v>
      </c>
    </row>
    <row r="11" spans="1:3" x14ac:dyDescent="0.25">
      <c r="A11" s="10">
        <v>2</v>
      </c>
      <c r="B11" s="22" t="s">
        <v>9</v>
      </c>
      <c r="C11" s="2" t="s">
        <v>68</v>
      </c>
    </row>
    <row r="12" spans="1:3" x14ac:dyDescent="0.25">
      <c r="A12" s="10"/>
      <c r="B12" s="22"/>
    </row>
    <row r="13" spans="1:3" x14ac:dyDescent="0.25">
      <c r="A13" s="4"/>
      <c r="B13" s="22"/>
    </row>
    <row r="14" spans="1:3" x14ac:dyDescent="0.25">
      <c r="A14" s="4"/>
      <c r="B14" s="22"/>
    </row>
    <row r="15" spans="1:3" x14ac:dyDescent="0.25">
      <c r="A15" s="4"/>
      <c r="B15" s="22"/>
    </row>
    <row r="16" spans="1:3" x14ac:dyDescent="0.25">
      <c r="A16" s="4"/>
      <c r="B16" s="22"/>
    </row>
    <row r="17" spans="1:2" x14ac:dyDescent="0.25">
      <c r="A17" s="4"/>
      <c r="B17" s="22"/>
    </row>
    <row r="18" spans="1:2" x14ac:dyDescent="0.25">
      <c r="A18" s="4"/>
      <c r="B18" s="22"/>
    </row>
    <row r="19" spans="1:2" x14ac:dyDescent="0.25">
      <c r="A19" s="4"/>
      <c r="B19" s="22"/>
    </row>
    <row r="20" spans="1:2" x14ac:dyDescent="0.25">
      <c r="A20" s="4"/>
      <c r="B20" s="22"/>
    </row>
    <row r="21" spans="1:2" x14ac:dyDescent="0.25">
      <c r="A21" s="4"/>
      <c r="B21" s="22"/>
    </row>
    <row r="22" spans="1:2" x14ac:dyDescent="0.25">
      <c r="A22" s="4"/>
      <c r="B22" s="22"/>
    </row>
    <row r="23" spans="1:2" x14ac:dyDescent="0.25">
      <c r="A23" s="4"/>
      <c r="B23" s="22"/>
    </row>
    <row r="24" spans="1:2" x14ac:dyDescent="0.25">
      <c r="A24" s="4"/>
      <c r="B24" s="22"/>
    </row>
    <row r="25" spans="1:2" x14ac:dyDescent="0.25">
      <c r="A25" s="4"/>
      <c r="B25" s="22"/>
    </row>
    <row r="26" spans="1:2" x14ac:dyDescent="0.25">
      <c r="A26" s="4"/>
      <c r="B26" s="22"/>
    </row>
    <row r="27" spans="1:2" x14ac:dyDescent="0.25">
      <c r="A27" s="4"/>
      <c r="B27" s="22"/>
    </row>
    <row r="28" spans="1:2" x14ac:dyDescent="0.25">
      <c r="A28" s="4"/>
      <c r="B28" s="22"/>
    </row>
    <row r="29" spans="1:2" x14ac:dyDescent="0.25">
      <c r="A29" s="4"/>
      <c r="B29" s="22"/>
    </row>
    <row r="30" spans="1:2" x14ac:dyDescent="0.25">
      <c r="A30" s="4"/>
      <c r="B30" s="22"/>
    </row>
    <row r="31" spans="1:2" x14ac:dyDescent="0.25">
      <c r="A31" s="4"/>
      <c r="B31" s="22"/>
    </row>
    <row r="32" spans="1:2" x14ac:dyDescent="0.25">
      <c r="A32" s="4"/>
      <c r="B32" s="22"/>
    </row>
    <row r="33" spans="1:2" x14ac:dyDescent="0.25">
      <c r="A33" s="4"/>
      <c r="B33" s="22"/>
    </row>
    <row r="34" spans="1:2" x14ac:dyDescent="0.25">
      <c r="A34" s="4"/>
      <c r="B34" s="22"/>
    </row>
    <row r="35" spans="1:2" x14ac:dyDescent="0.25">
      <c r="A35" s="4"/>
      <c r="B35" s="22"/>
    </row>
    <row r="36" spans="1:2" x14ac:dyDescent="0.25">
      <c r="A36" s="4"/>
      <c r="B36" s="22"/>
    </row>
    <row r="37" spans="1:2" x14ac:dyDescent="0.25">
      <c r="A37" s="4"/>
      <c r="B37" s="22"/>
    </row>
    <row r="38" spans="1:2" x14ac:dyDescent="0.25">
      <c r="A38" s="4"/>
      <c r="B38" s="22"/>
    </row>
    <row r="39" spans="1:2" x14ac:dyDescent="0.25">
      <c r="A39" s="4"/>
      <c r="B39" s="22"/>
    </row>
    <row r="40" spans="1:2" x14ac:dyDescent="0.25">
      <c r="A40" s="4"/>
      <c r="B40" s="22"/>
    </row>
    <row r="41" spans="1:2" x14ac:dyDescent="0.25">
      <c r="A41" s="4"/>
      <c r="B41" s="22"/>
    </row>
    <row r="42" spans="1:2" x14ac:dyDescent="0.25">
      <c r="A42" s="4"/>
      <c r="B42" s="22"/>
    </row>
    <row r="43" spans="1:2" x14ac:dyDescent="0.25">
      <c r="A43" s="4"/>
      <c r="B43" s="22"/>
    </row>
    <row r="44" spans="1:2" x14ac:dyDescent="0.25">
      <c r="A44" s="4"/>
      <c r="B44" s="22"/>
    </row>
    <row r="45" spans="1:2" x14ac:dyDescent="0.25">
      <c r="A45" s="4"/>
      <c r="B45" s="22"/>
    </row>
    <row r="46" spans="1:2" x14ac:dyDescent="0.25">
      <c r="A46" s="4"/>
      <c r="B46" s="22"/>
    </row>
    <row r="47" spans="1:2" x14ac:dyDescent="0.25">
      <c r="A47" s="4"/>
      <c r="B47" s="22"/>
    </row>
    <row r="48" spans="1:2" x14ac:dyDescent="0.25">
      <c r="A48" s="4"/>
      <c r="B48" s="22"/>
    </row>
    <row r="49" spans="1:2" x14ac:dyDescent="0.25">
      <c r="A49" s="4"/>
      <c r="B49" s="22"/>
    </row>
    <row r="50" spans="1:2" x14ac:dyDescent="0.25">
      <c r="A50" s="4"/>
      <c r="B50" s="22"/>
    </row>
    <row r="51" spans="1:2" x14ac:dyDescent="0.25">
      <c r="A51" s="4"/>
      <c r="B51" s="22"/>
    </row>
    <row r="52" spans="1:2" x14ac:dyDescent="0.25">
      <c r="A52" s="4"/>
      <c r="B52" s="22"/>
    </row>
    <row r="53" spans="1:2" x14ac:dyDescent="0.25">
      <c r="A53" s="4"/>
      <c r="B53" s="22"/>
    </row>
    <row r="54" spans="1:2" x14ac:dyDescent="0.25">
      <c r="A54" s="4"/>
      <c r="B54" s="22"/>
    </row>
    <row r="55" spans="1:2" x14ac:dyDescent="0.25">
      <c r="A55" s="4"/>
      <c r="B55" s="22"/>
    </row>
    <row r="56" spans="1:2" x14ac:dyDescent="0.25">
      <c r="A56" s="4"/>
      <c r="B56" s="22"/>
    </row>
    <row r="57" spans="1:2" x14ac:dyDescent="0.25">
      <c r="A57" s="4"/>
      <c r="B57" s="22"/>
    </row>
    <row r="58" spans="1:2" x14ac:dyDescent="0.25">
      <c r="A58" s="4"/>
      <c r="B58" s="22"/>
    </row>
    <row r="59" spans="1:2" x14ac:dyDescent="0.25">
      <c r="A59" s="4"/>
      <c r="B59" s="22"/>
    </row>
    <row r="60" spans="1:2" x14ac:dyDescent="0.25">
      <c r="A60" s="4"/>
      <c r="B60" s="22"/>
    </row>
    <row r="61" spans="1:2" x14ac:dyDescent="0.25">
      <c r="A61" s="4"/>
      <c r="B61" s="22"/>
    </row>
    <row r="62" spans="1:2" x14ac:dyDescent="0.25">
      <c r="A62" s="4"/>
      <c r="B62" s="22"/>
    </row>
    <row r="63" spans="1:2" x14ac:dyDescent="0.25">
      <c r="A63" s="4"/>
      <c r="B63" s="22"/>
    </row>
    <row r="64" spans="1:2" x14ac:dyDescent="0.25">
      <c r="A64" s="4"/>
      <c r="B64" s="22"/>
    </row>
    <row r="65" spans="1:2" x14ac:dyDescent="0.25">
      <c r="A65" s="4"/>
      <c r="B65" s="22"/>
    </row>
    <row r="66" spans="1:2" x14ac:dyDescent="0.25">
      <c r="A66" s="4"/>
      <c r="B66" s="22"/>
    </row>
    <row r="67" spans="1:2" x14ac:dyDescent="0.25">
      <c r="A67" s="4"/>
      <c r="B67" s="22"/>
    </row>
    <row r="68" spans="1:2" x14ac:dyDescent="0.25">
      <c r="A68" s="4"/>
      <c r="B68" s="22"/>
    </row>
    <row r="69" spans="1:2" x14ac:dyDescent="0.25">
      <c r="A69" s="4"/>
      <c r="B69" s="22"/>
    </row>
    <row r="70" spans="1:2" x14ac:dyDescent="0.25">
      <c r="A70" s="4"/>
      <c r="B70" s="22"/>
    </row>
    <row r="71" spans="1:2" x14ac:dyDescent="0.25">
      <c r="A71" s="4"/>
      <c r="B71" s="22"/>
    </row>
    <row r="72" spans="1:2" x14ac:dyDescent="0.25">
      <c r="A72" s="4"/>
      <c r="B72" s="22"/>
    </row>
    <row r="73" spans="1:2" x14ac:dyDescent="0.25">
      <c r="A73" s="4"/>
      <c r="B73" s="22"/>
    </row>
    <row r="74" spans="1:2" x14ac:dyDescent="0.25">
      <c r="A74" s="4"/>
      <c r="B74" s="22"/>
    </row>
    <row r="75" spans="1:2" x14ac:dyDescent="0.25">
      <c r="A75" s="4"/>
      <c r="B75" s="22"/>
    </row>
    <row r="76" spans="1:2" x14ac:dyDescent="0.25">
      <c r="A76" s="4"/>
      <c r="B76" s="22"/>
    </row>
    <row r="77" spans="1:2" x14ac:dyDescent="0.25">
      <c r="A77" s="4"/>
      <c r="B77" s="22"/>
    </row>
    <row r="78" spans="1:2" x14ac:dyDescent="0.25">
      <c r="A78" s="4"/>
      <c r="B78" s="22"/>
    </row>
    <row r="79" spans="1:2" x14ac:dyDescent="0.25">
      <c r="A79" s="4"/>
      <c r="B79" s="22"/>
    </row>
    <row r="80" spans="1:2" x14ac:dyDescent="0.25">
      <c r="A80" s="4"/>
      <c r="B80" s="22"/>
    </row>
    <row r="81" spans="1:2" x14ac:dyDescent="0.25">
      <c r="A81" s="4"/>
      <c r="B81" s="22"/>
    </row>
    <row r="82" spans="1:2" x14ac:dyDescent="0.25">
      <c r="A82" s="4"/>
      <c r="B82" s="22"/>
    </row>
    <row r="83" spans="1:2" x14ac:dyDescent="0.25">
      <c r="A83" s="4"/>
      <c r="B83" s="22"/>
    </row>
    <row r="84" spans="1:2" x14ac:dyDescent="0.25">
      <c r="A84" s="4"/>
      <c r="B84" s="22"/>
    </row>
    <row r="85" spans="1:2" x14ac:dyDescent="0.25">
      <c r="A85" s="4"/>
      <c r="B85" s="22"/>
    </row>
    <row r="86" spans="1:2" x14ac:dyDescent="0.25">
      <c r="A86" s="4"/>
      <c r="B86" s="22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IRIS-1'!A1" display="'IRIS-1'!A1"/>
    <hyperlink ref="A11" location="'IRIS-2'!A1" display="'IRIS-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L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38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38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38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38" ht="15" customHeight="1" x14ac:dyDescent="0.25">
      <c r="M4" s="9"/>
      <c r="N4" s="8" t="s">
        <v>12</v>
      </c>
      <c r="X4" s="63" t="str">
        <f>IF(Q9&lt;&gt;"ok","required:","NOT required:")</f>
        <v>required:</v>
      </c>
      <c r="Y4" s="64"/>
      <c r="Z4" s="63" t="str">
        <f>IF(Q19&lt;&gt;"usual","required:","NOT required:")</f>
        <v>NOT required:</v>
      </c>
      <c r="AA4" s="65"/>
      <c r="AB4" s="55" t="s">
        <v>12</v>
      </c>
    </row>
    <row r="5" spans="1:38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</row>
    <row r="6" spans="1:38" ht="15" customHeight="1" x14ac:dyDescent="0.25">
      <c r="B6" s="7"/>
      <c r="C6" s="13" t="s">
        <v>18</v>
      </c>
      <c r="D6" s="33"/>
      <c r="E6" s="33"/>
      <c r="F6" s="16"/>
      <c r="G6" s="14"/>
      <c r="H6" s="34">
        <v>1390</v>
      </c>
      <c r="I6" s="34">
        <v>1263.6363636363635</v>
      </c>
      <c r="J6" s="15">
        <v>1148.7603305785121</v>
      </c>
      <c r="M6" s="7"/>
      <c r="N6" s="8" t="s">
        <v>12</v>
      </c>
      <c r="O6" s="35" t="s">
        <v>19</v>
      </c>
      <c r="P6" s="36">
        <f>H8/H29</f>
        <v>6.5205468018767254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>
        <f>IF(Q9="ok","",H8/(H29-T9))</f>
        <v>7.7203361890244171</v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1390</v>
      </c>
      <c r="AK6" s="84">
        <v>1263.6363636363635</v>
      </c>
      <c r="AL6" s="85">
        <v>1148.7603305785121</v>
      </c>
    </row>
    <row r="7" spans="1:38" ht="15" customHeight="1" x14ac:dyDescent="0.25">
      <c r="B7" s="7"/>
      <c r="C7" s="17" t="s">
        <v>20</v>
      </c>
      <c r="D7" s="39"/>
      <c r="E7" s="39"/>
      <c r="F7" s="40"/>
      <c r="G7" s="11"/>
      <c r="H7" s="41">
        <v>667.2</v>
      </c>
      <c r="I7" s="41">
        <v>889.6</v>
      </c>
      <c r="J7" s="21">
        <v>882.24793388429737</v>
      </c>
      <c r="M7" s="7"/>
      <c r="N7" s="8" t="s">
        <v>12</v>
      </c>
      <c r="O7" s="35" t="s">
        <v>21</v>
      </c>
      <c r="P7" s="36">
        <f>H9/H29</f>
        <v>3.6341180842459622</v>
      </c>
      <c r="Q7" s="37" t="str">
        <f>IF(P7&gt;=300%,"unusual","ok")</f>
        <v>unusual</v>
      </c>
      <c r="R7"/>
      <c r="S7"/>
      <c r="T7"/>
      <c r="U7" s="9"/>
      <c r="V7" s="38"/>
      <c r="X7" s="37" t="s">
        <v>21</v>
      </c>
      <c r="Y7" s="76">
        <f>IF(Q9="ok","",H9/(H29-T9))</f>
        <v>4.3028007026829425</v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667.2</v>
      </c>
      <c r="AK7" s="87">
        <v>889.6</v>
      </c>
      <c r="AL7" s="88">
        <v>882.24793388429737</v>
      </c>
    </row>
    <row r="8" spans="1:38" ht="15" customHeight="1" x14ac:dyDescent="0.25">
      <c r="B8" s="7"/>
      <c r="C8" s="17" t="s">
        <v>22</v>
      </c>
      <c r="D8" s="39"/>
      <c r="E8" s="39"/>
      <c r="F8" s="40"/>
      <c r="G8" s="11"/>
      <c r="H8" s="41">
        <v>1326.8181818181818</v>
      </c>
      <c r="I8" s="41">
        <v>1206.1983471074379</v>
      </c>
      <c r="J8" s="21">
        <v>1096.5439519158526</v>
      </c>
      <c r="M8" s="7"/>
      <c r="N8" s="8" t="s">
        <v>12</v>
      </c>
      <c r="O8" s="35" t="s">
        <v>23</v>
      </c>
      <c r="P8" s="36">
        <f>(H9-I9)/I9</f>
        <v>5.7692307692307807E-2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1326.8181818181818</v>
      </c>
      <c r="AK8" s="87">
        <v>1206.1983471074379</v>
      </c>
      <c r="AL8" s="88">
        <v>1096.5439519158526</v>
      </c>
    </row>
    <row r="9" spans="1:38" ht="15" customHeight="1" x14ac:dyDescent="0.25">
      <c r="B9" s="7"/>
      <c r="C9" s="18" t="s">
        <v>24</v>
      </c>
      <c r="D9" s="42"/>
      <c r="E9" s="42"/>
      <c r="F9" s="12"/>
      <c r="G9" s="19"/>
      <c r="H9" s="43">
        <v>739.48000000000013</v>
      </c>
      <c r="I9" s="43">
        <v>699.14472727272732</v>
      </c>
      <c r="J9" s="20">
        <v>572.02750413223146</v>
      </c>
      <c r="M9" s="7"/>
      <c r="N9" s="8" t="s">
        <v>12</v>
      </c>
      <c r="O9" s="35" t="s">
        <v>25</v>
      </c>
      <c r="P9" s="36">
        <f>T9/H29</f>
        <v>0.15540636544472861</v>
      </c>
      <c r="Q9" s="37" t="str">
        <f>IF(P9&gt;=15%,"unusual","ok")</f>
        <v>unusual</v>
      </c>
      <c r="R9" s="44" t="s">
        <v>26</v>
      </c>
      <c r="S9" s="37" t="s">
        <v>27</v>
      </c>
      <c r="T9" s="45">
        <f>(SUM(H13:H14)/SUM(H11:H12))*H26</f>
        <v>31.622499999999995</v>
      </c>
      <c r="U9" s="9"/>
      <c r="V9" s="38"/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739.48000000000013</v>
      </c>
      <c r="AK9" s="92">
        <v>699.14472727272732</v>
      </c>
      <c r="AL9" s="93">
        <v>572.02750413223146</v>
      </c>
    </row>
    <row r="10" spans="1:38" ht="15" customHeight="1" x14ac:dyDescent="0.25">
      <c r="B10" s="7"/>
      <c r="C10" s="17" t="s">
        <v>28</v>
      </c>
      <c r="D10" s="39"/>
      <c r="E10" s="39"/>
      <c r="F10" s="40"/>
      <c r="G10" s="11"/>
      <c r="H10" s="41">
        <v>43.465299999999999</v>
      </c>
      <c r="I10" s="41">
        <v>89.74345454545454</v>
      </c>
      <c r="J10" s="21">
        <v>65.755041322314042</v>
      </c>
      <c r="M10" s="7"/>
      <c r="N10" s="8" t="s">
        <v>12</v>
      </c>
      <c r="O10"/>
      <c r="P10" s="36"/>
      <c r="Q10" s="35"/>
      <c r="R10"/>
      <c r="S10"/>
      <c r="T10"/>
      <c r="U10" s="9"/>
      <c r="V10" s="38"/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43.465299999999999</v>
      </c>
      <c r="AK10" s="87">
        <v>89.74345454545454</v>
      </c>
      <c r="AL10" s="88">
        <v>65.755041322314042</v>
      </c>
    </row>
    <row r="11" spans="1:38" ht="15" customHeight="1" x14ac:dyDescent="0.25">
      <c r="B11" s="7"/>
      <c r="C11" s="13" t="s">
        <v>29</v>
      </c>
      <c r="D11" s="33"/>
      <c r="E11" s="33"/>
      <c r="F11" s="16"/>
      <c r="G11" s="14"/>
      <c r="H11" s="34">
        <v>271.04999999999995</v>
      </c>
      <c r="I11" s="34">
        <v>140.26363636363629</v>
      </c>
      <c r="J11" s="15">
        <v>99.942148760330554</v>
      </c>
      <c r="M11" s="7"/>
      <c r="N11" s="8" t="s">
        <v>12</v>
      </c>
      <c r="O11" s="35" t="s">
        <v>30</v>
      </c>
      <c r="P11" s="36">
        <f>T11+T12-T13</f>
        <v>0.99688773049794321</v>
      </c>
      <c r="Q11" s="46" t="str">
        <f>IF(P11&lt;100%,"usual","not ok")</f>
        <v>usual</v>
      </c>
      <c r="R11" s="44" t="s">
        <v>26</v>
      </c>
      <c r="S11" s="37" t="s">
        <v>31</v>
      </c>
      <c r="T11" s="47">
        <f>(SUM(H16:I16)+SUM(H17:I17))/SUM(H7:I7)</f>
        <v>0.88706099555629847</v>
      </c>
      <c r="U11" s="47"/>
      <c r="V11" s="47"/>
      <c r="X11" s="94" t="s">
        <v>30</v>
      </c>
      <c r="Y11" s="77" t="s">
        <v>80</v>
      </c>
      <c r="Z11" s="9"/>
      <c r="AA11" s="95">
        <f>(H16+H17)/H7+(H18-H15)/H9-H10/H7</f>
        <v>1.0757016365711904</v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6">
        <v>271.04999999999995</v>
      </c>
      <c r="AK11" s="96">
        <v>140.26363636363629</v>
      </c>
      <c r="AL11" s="97">
        <v>99.942148760330554</v>
      </c>
    </row>
    <row r="12" spans="1:38" ht="15" customHeight="1" x14ac:dyDescent="0.25">
      <c r="B12" s="7"/>
      <c r="C12" s="17" t="s">
        <v>32</v>
      </c>
      <c r="D12" s="39"/>
      <c r="E12" s="39"/>
      <c r="F12" s="40"/>
      <c r="G12" s="11"/>
      <c r="H12" s="41">
        <v>451.75</v>
      </c>
      <c r="I12" s="41">
        <v>233.7727272727272</v>
      </c>
      <c r="J12" s="21">
        <v>166.57024793388419</v>
      </c>
      <c r="M12" s="7"/>
      <c r="N12" s="8" t="s">
        <v>12</v>
      </c>
      <c r="O12" s="35" t="s">
        <v>33</v>
      </c>
      <c r="P12" s="48">
        <f>2*H10/(SUM(H19:I19)+SUM(H20:I20)-SUM(H28:I28)-H10)</f>
        <v>3.1179815596853296E-2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(SUM(H18:I18)-SUM(H15:I15))/SUM(H9:I9)</f>
        <v>0.19539248169489148</v>
      </c>
      <c r="U12" s="47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451.75</v>
      </c>
      <c r="AK12" s="87">
        <v>233.7727272727272</v>
      </c>
      <c r="AL12" s="88">
        <v>166.57024793388419</v>
      </c>
    </row>
    <row r="13" spans="1:38" ht="15" customHeight="1" x14ac:dyDescent="0.25">
      <c r="B13" s="7"/>
      <c r="C13" s="17" t="s">
        <v>35</v>
      </c>
      <c r="D13" s="39"/>
      <c r="E13" s="39"/>
      <c r="F13" s="40"/>
      <c r="G13" s="11"/>
      <c r="H13" s="41">
        <v>79.056249999999991</v>
      </c>
      <c r="I13" s="41">
        <v>40.910227272727255</v>
      </c>
      <c r="J13" s="21">
        <v>29.149793388429739</v>
      </c>
      <c r="M13" s="7"/>
      <c r="N13" s="8" t="s">
        <v>12</v>
      </c>
      <c r="O13" s="35" t="s">
        <v>36</v>
      </c>
      <c r="P13" s="48">
        <f>(H29-I29)/I29</f>
        <v>-0.17605633802816917</v>
      </c>
      <c r="Q13" s="46" t="str">
        <f>IF(AND(P13&gt;-10%,P13&lt;50%),"usual","not ok")</f>
        <v>not ok</v>
      </c>
      <c r="R13"/>
      <c r="S13" s="37" t="s">
        <v>37</v>
      </c>
      <c r="T13" s="47">
        <f>SUM(H10:I10)/SUM(H7:I7)</f>
        <v>8.5565746753246755E-2</v>
      </c>
      <c r="U13" s="47"/>
      <c r="V13" s="38"/>
      <c r="X13" s="37" t="s">
        <v>36</v>
      </c>
      <c r="Y13" s="76">
        <f>IF(Q9="ok","",(H29-T9-I29)/I29)</f>
        <v>-0.30410242786643149</v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79.056249999999991</v>
      </c>
      <c r="AK13" s="87">
        <v>40.910227272727255</v>
      </c>
      <c r="AL13" s="88">
        <v>29.149793388429739</v>
      </c>
    </row>
    <row r="14" spans="1:38" ht="15" customHeight="1" x14ac:dyDescent="0.25">
      <c r="B14" s="7"/>
      <c r="C14" s="18" t="s">
        <v>38</v>
      </c>
      <c r="D14" s="42"/>
      <c r="E14" s="42"/>
      <c r="F14" s="12"/>
      <c r="G14" s="19"/>
      <c r="H14" s="43">
        <v>47.433749999999989</v>
      </c>
      <c r="I14" s="43">
        <v>24.54613636363635</v>
      </c>
      <c r="J14" s="20">
        <v>17.489876033057843</v>
      </c>
      <c r="M14" s="7"/>
      <c r="N14" s="8" t="s">
        <v>12</v>
      </c>
      <c r="O14" s="35" t="s">
        <v>39</v>
      </c>
      <c r="P14" s="48">
        <f>(H29-I29-H30)/I29</f>
        <v>-0.17605633802816917</v>
      </c>
      <c r="Q14" s="46" t="str">
        <f>IF(AND(P14&gt;-10%,P14&lt;25%),"usual","not ok")</f>
        <v>not ok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47.433749999999989</v>
      </c>
      <c r="AK14" s="92">
        <v>24.54613636363635</v>
      </c>
      <c r="AL14" s="93">
        <v>17.489876033057843</v>
      </c>
    </row>
    <row r="15" spans="1:38" ht="15" customHeight="1" x14ac:dyDescent="0.25">
      <c r="B15" s="7"/>
      <c r="C15" s="17" t="s">
        <v>40</v>
      </c>
      <c r="D15" s="39"/>
      <c r="E15" s="39"/>
      <c r="F15" s="40"/>
      <c r="G15" s="11"/>
      <c r="H15" s="41">
        <v>23.606873735999997</v>
      </c>
      <c r="I15" s="41">
        <v>47.693261483636363</v>
      </c>
      <c r="J15" s="21">
        <v>31.87278362975206</v>
      </c>
      <c r="M15" s="7"/>
      <c r="N15" s="8" t="s">
        <v>12</v>
      </c>
      <c r="O15"/>
      <c r="P15" s="36"/>
      <c r="Q15" s="35"/>
      <c r="R15"/>
      <c r="S15"/>
      <c r="T15"/>
      <c r="U15" s="9"/>
      <c r="V15" s="47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23.606873735999997</v>
      </c>
      <c r="AK15" s="87">
        <v>47.693261483636363</v>
      </c>
      <c r="AL15" s="88">
        <v>31.87278362975206</v>
      </c>
    </row>
    <row r="16" spans="1:38" ht="15" customHeight="1" x14ac:dyDescent="0.25">
      <c r="B16" s="7"/>
      <c r="C16" s="13" t="s">
        <v>41</v>
      </c>
      <c r="D16" s="33"/>
      <c r="E16" s="33"/>
      <c r="F16" s="16"/>
      <c r="G16" s="14"/>
      <c r="H16" s="34">
        <v>600.48</v>
      </c>
      <c r="I16" s="34">
        <v>756.16</v>
      </c>
      <c r="J16" s="15">
        <v>705.79834710743808</v>
      </c>
      <c r="M16" s="7"/>
      <c r="N16" s="8" t="s">
        <v>12</v>
      </c>
      <c r="O16" s="35" t="s">
        <v>42</v>
      </c>
      <c r="P16" s="36">
        <f>(H24-H23)/H21</f>
        <v>0.6154332079021636</v>
      </c>
      <c r="Q16" s="46" t="str">
        <f>IF(P16&lt;100%,"usual","not ok")</f>
        <v>usual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6">
        <v>600.48</v>
      </c>
      <c r="AK16" s="84">
        <v>756.16</v>
      </c>
      <c r="AL16" s="97">
        <v>705.79834710743808</v>
      </c>
    </row>
    <row r="17" spans="1:38" ht="15" customHeight="1" x14ac:dyDescent="0.25">
      <c r="B17" s="7"/>
      <c r="C17" s="17" t="s">
        <v>43</v>
      </c>
      <c r="D17" s="39"/>
      <c r="E17" s="39"/>
      <c r="F17" s="40"/>
      <c r="G17" s="11"/>
      <c r="H17" s="41">
        <v>7.9815886745839988</v>
      </c>
      <c r="I17" s="41">
        <v>16.354969207461817</v>
      </c>
      <c r="J17" s="21">
        <v>11.617711169295866</v>
      </c>
      <c r="M17" s="7"/>
      <c r="N17" s="8" t="s">
        <v>12</v>
      </c>
      <c r="O17" s="35" t="s">
        <v>44</v>
      </c>
      <c r="P17" s="36">
        <f>H22/H29</f>
        <v>0.43035608892386384</v>
      </c>
      <c r="Q17" s="46" t="str">
        <f>IF(P17&lt;40%,"usual","not ok")</f>
        <v>not ok</v>
      </c>
      <c r="R17"/>
      <c r="S17"/>
      <c r="T17"/>
      <c r="U17" s="9"/>
      <c r="V17" s="38"/>
      <c r="X17" s="37" t="s">
        <v>44</v>
      </c>
      <c r="Y17" s="76">
        <f>IF(Q9="ok","",H22/(H29-T9))</f>
        <v>0.5095421884756115</v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7.9815886745839988</v>
      </c>
      <c r="AK17" s="87">
        <v>16.354969207461817</v>
      </c>
      <c r="AL17" s="88">
        <v>11.617711169295866</v>
      </c>
    </row>
    <row r="18" spans="1:38" ht="15" customHeight="1" x14ac:dyDescent="0.25">
      <c r="B18" s="7"/>
      <c r="C18" s="17" t="s">
        <v>45</v>
      </c>
      <c r="D18" s="39"/>
      <c r="E18" s="39"/>
      <c r="F18" s="40"/>
      <c r="G18" s="11"/>
      <c r="H18" s="41">
        <v>192.86250000000001</v>
      </c>
      <c r="I18" s="41">
        <v>159.53409090909091</v>
      </c>
      <c r="J18" s="21">
        <v>168.00619834710739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192.86250000000001</v>
      </c>
      <c r="AK18" s="87">
        <v>159.53409090909091</v>
      </c>
      <c r="AL18" s="88">
        <v>168.00619834710739</v>
      </c>
    </row>
    <row r="19" spans="1:38" ht="15" customHeight="1" x14ac:dyDescent="0.25">
      <c r="B19" s="7"/>
      <c r="C19" s="17" t="s">
        <v>46</v>
      </c>
      <c r="D19" s="39"/>
      <c r="E19" s="39"/>
      <c r="F19" s="40"/>
      <c r="G19" s="11"/>
      <c r="H19" s="41">
        <v>1477.57</v>
      </c>
      <c r="I19" s="41">
        <v>1343.2454545454543</v>
      </c>
      <c r="J19" s="21">
        <v>1221.1322314049582</v>
      </c>
      <c r="M19" s="7"/>
      <c r="N19" s="8" t="s">
        <v>12</v>
      </c>
      <c r="O19" s="35" t="s">
        <v>47</v>
      </c>
      <c r="P19" s="49">
        <f>H31/I29</f>
        <v>-0.48413241597925122</v>
      </c>
      <c r="Q19" s="46" t="str">
        <f>IF(P19&lt;20%,"usual","not ok")</f>
        <v>usual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1477.57</v>
      </c>
      <c r="AK19" s="87">
        <v>1343.2454545454543</v>
      </c>
      <c r="AL19" s="88">
        <v>1221.1322314049582</v>
      </c>
    </row>
    <row r="20" spans="1:38" ht="15" customHeight="1" x14ac:dyDescent="0.25">
      <c r="B20" s="7"/>
      <c r="C20" s="17" t="s">
        <v>48</v>
      </c>
      <c r="D20" s="39"/>
      <c r="E20" s="39"/>
      <c r="F20" s="40"/>
      <c r="G20" s="11"/>
      <c r="H20" s="41">
        <v>3.9907943372919994</v>
      </c>
      <c r="I20" s="41">
        <v>8.1774846037309086</v>
      </c>
      <c r="J20" s="21">
        <v>5.8088555846479331</v>
      </c>
      <c r="M20" s="7"/>
      <c r="N20" s="8" t="s">
        <v>12</v>
      </c>
      <c r="O20" s="35" t="s">
        <v>49</v>
      </c>
      <c r="P20" s="49">
        <f>H32/J29</f>
        <v>-0.20130125628846871</v>
      </c>
      <c r="Q20" s="46" t="str">
        <f>IF(P20&lt;20%,"usual","not ok")</f>
        <v>usual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3.9907943372919994</v>
      </c>
      <c r="AK20" s="87">
        <v>8.1774846037309086</v>
      </c>
      <c r="AL20" s="88">
        <v>5.8088555846479331</v>
      </c>
    </row>
    <row r="21" spans="1:38" ht="15" customHeight="1" x14ac:dyDescent="0.25">
      <c r="B21" s="7"/>
      <c r="C21" s="17" t="s">
        <v>50</v>
      </c>
      <c r="D21" s="39"/>
      <c r="E21" s="39"/>
      <c r="F21" s="40"/>
      <c r="G21" s="11"/>
      <c r="H21" s="41">
        <v>2955.14</v>
      </c>
      <c r="I21" s="41">
        <v>2686.4909090909086</v>
      </c>
      <c r="J21" s="21">
        <v>2442.2644628099165</v>
      </c>
      <c r="M21" s="7"/>
      <c r="N21" s="8" t="s">
        <v>12</v>
      </c>
      <c r="O21" s="35" t="s">
        <v>51</v>
      </c>
      <c r="P21" s="36">
        <f>T21/H29</f>
        <v>-0.33776805036395829</v>
      </c>
      <c r="Q21" s="46" t="str">
        <f>IF(P21&lt;25%,"usual","not ok")</f>
        <v>usual</v>
      </c>
      <c r="R21" s="44" t="s">
        <v>26</v>
      </c>
      <c r="S21" s="37" t="s">
        <v>52</v>
      </c>
      <c r="T21" s="51">
        <f>T22-H27</f>
        <v>-68.729939999999999</v>
      </c>
      <c r="U21" s="9"/>
      <c r="V21" s="38"/>
      <c r="X21" s="37" t="s">
        <v>51</v>
      </c>
      <c r="Y21" s="76">
        <f>IF(Q9="ok","",T21/(H29-T9))</f>
        <v>-0.39991782621214428</v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2955.14</v>
      </c>
      <c r="AK21" s="87">
        <v>2686.4909090909086</v>
      </c>
      <c r="AL21" s="88">
        <v>2442.2644628099165</v>
      </c>
    </row>
    <row r="22" spans="1:38" ht="15" customHeight="1" x14ac:dyDescent="0.25">
      <c r="B22" s="7"/>
      <c r="C22" s="17" t="s">
        <v>53</v>
      </c>
      <c r="D22" s="39"/>
      <c r="E22" s="39"/>
      <c r="F22" s="40"/>
      <c r="G22" s="11"/>
      <c r="H22" s="41">
        <v>87.57</v>
      </c>
      <c r="I22" s="41">
        <v>0</v>
      </c>
      <c r="J22" s="21"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T23*H7</f>
        <v>139.77006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87.57</v>
      </c>
      <c r="AK22" s="87"/>
      <c r="AL22" s="88"/>
    </row>
    <row r="23" spans="1:38" ht="15" customHeight="1" x14ac:dyDescent="0.25">
      <c r="B23" s="7"/>
      <c r="C23" s="18" t="s">
        <v>55</v>
      </c>
      <c r="D23" s="42"/>
      <c r="E23" s="42"/>
      <c r="F23" s="12"/>
      <c r="G23" s="19"/>
      <c r="H23" s="43">
        <v>20.883360000000003</v>
      </c>
      <c r="I23" s="43">
        <v>0</v>
      </c>
      <c r="J23" s="20"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0.20948749999999999</v>
      </c>
      <c r="U23" s="44" t="s">
        <v>26</v>
      </c>
      <c r="V23" s="53" t="s">
        <v>57</v>
      </c>
      <c r="W23" s="50">
        <f>(I27+H31)/I7</f>
        <v>0.17810000000000004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20.883360000000003</v>
      </c>
      <c r="AK23" s="92"/>
      <c r="AL23" s="93"/>
    </row>
    <row r="24" spans="1:38" ht="15" customHeight="1" x14ac:dyDescent="0.25">
      <c r="B24" s="7"/>
      <c r="C24" s="17" t="s">
        <v>58</v>
      </c>
      <c r="D24" s="39"/>
      <c r="E24" s="39"/>
      <c r="F24" s="40"/>
      <c r="G24" s="11"/>
      <c r="H24" s="41">
        <v>1839.5746499999996</v>
      </c>
      <c r="I24" s="41">
        <v>1382.4682218181815</v>
      </c>
      <c r="J24" s="21">
        <v>2736.5573305785115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(J27+H32)/J7</f>
        <v>0.24087499999999998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1839.5746499999996</v>
      </c>
      <c r="AK24" s="87">
        <v>1382.4682218181815</v>
      </c>
      <c r="AL24" s="88">
        <v>2736.5573305785115</v>
      </c>
    </row>
    <row r="25" spans="1:38" ht="15" customHeight="1" x14ac:dyDescent="0.25">
      <c r="B25" s="7"/>
      <c r="C25" s="13" t="s">
        <v>60</v>
      </c>
      <c r="D25" s="33"/>
      <c r="E25" s="33"/>
      <c r="F25" s="16"/>
      <c r="G25" s="14"/>
      <c r="H25" s="34">
        <v>135.52499999999998</v>
      </c>
      <c r="I25" s="34">
        <v>0</v>
      </c>
      <c r="J25" s="15"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6">
        <v>135.52499999999998</v>
      </c>
      <c r="AK25" s="96"/>
      <c r="AL25" s="97"/>
    </row>
    <row r="26" spans="1:38" ht="15" customHeight="1" x14ac:dyDescent="0.25">
      <c r="B26" s="7"/>
      <c r="C26" s="17" t="s">
        <v>61</v>
      </c>
      <c r="D26" s="39"/>
      <c r="E26" s="39"/>
      <c r="F26" s="40"/>
      <c r="G26" s="11"/>
      <c r="H26" s="41">
        <v>180.7</v>
      </c>
      <c r="I26" s="41">
        <v>0</v>
      </c>
      <c r="J26" s="21"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180.7</v>
      </c>
      <c r="AK26" s="92"/>
      <c r="AL26" s="93"/>
    </row>
    <row r="27" spans="1:38" ht="15" customHeight="1" x14ac:dyDescent="0.25">
      <c r="B27" s="7"/>
      <c r="C27" s="13" t="s">
        <v>62</v>
      </c>
      <c r="D27" s="33"/>
      <c r="E27" s="33"/>
      <c r="F27" s="16"/>
      <c r="G27" s="14"/>
      <c r="H27" s="34">
        <v>208.5</v>
      </c>
      <c r="I27" s="34">
        <v>278</v>
      </c>
      <c r="J27" s="15">
        <v>275.70247933884292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208.5</v>
      </c>
      <c r="AK27" s="87">
        <v>278</v>
      </c>
      <c r="AL27" s="88">
        <v>275.70247933884292</v>
      </c>
    </row>
    <row r="28" spans="1:38" ht="15" customHeight="1" x14ac:dyDescent="0.25">
      <c r="B28" s="7"/>
      <c r="C28" s="17" t="s">
        <v>63</v>
      </c>
      <c r="D28" s="39"/>
      <c r="E28" s="39"/>
      <c r="F28" s="40"/>
      <c r="G28" s="11"/>
      <c r="H28" s="41">
        <v>1.4775700000000001</v>
      </c>
      <c r="I28" s="41">
        <v>0</v>
      </c>
      <c r="J28" s="21"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1.4775700000000001</v>
      </c>
      <c r="AK28" s="87"/>
      <c r="AL28" s="88"/>
    </row>
    <row r="29" spans="1:38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v>203.48265599999999</v>
      </c>
      <c r="I29" s="41">
        <v>246.96185600000004</v>
      </c>
      <c r="J29" s="21">
        <v>313.91263735537183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203.48265599999999</v>
      </c>
      <c r="AK29" s="87">
        <v>246.96185600000004</v>
      </c>
      <c r="AL29" s="88">
        <v>313.91263735537183</v>
      </c>
    </row>
    <row r="30" spans="1:38" ht="15" customHeight="1" x14ac:dyDescent="0.25">
      <c r="B30" s="7"/>
      <c r="C30" s="18" t="s">
        <v>64</v>
      </c>
      <c r="D30" s="42"/>
      <c r="E30" s="42"/>
      <c r="F30" s="12"/>
      <c r="G30" s="19"/>
      <c r="H30" s="43">
        <v>0</v>
      </c>
      <c r="I30" s="43">
        <v>0</v>
      </c>
      <c r="J30" s="20"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0</v>
      </c>
      <c r="AK30" s="89">
        <v>0</v>
      </c>
      <c r="AL30" s="88"/>
    </row>
    <row r="31" spans="1:38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v>-119.56223999999996</v>
      </c>
      <c r="I31" s="34">
        <v>37.469069752066048</v>
      </c>
      <c r="J31" s="15"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6">
        <v>-119.56223999999996</v>
      </c>
      <c r="AK31" s="96">
        <v>37.469069752066048</v>
      </c>
      <c r="AL31" s="97"/>
    </row>
    <row r="32" spans="1:38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v>-63.191008264462837</v>
      </c>
      <c r="I32" s="43">
        <v>0</v>
      </c>
      <c r="J32" s="20"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-63.191008264462837</v>
      </c>
      <c r="AK32" s="98"/>
      <c r="AL32" s="99"/>
    </row>
    <row r="33" spans="1:2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12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55" t="s">
        <v>12</v>
      </c>
    </row>
    <row r="34" spans="1:28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12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55" t="s">
        <v>12</v>
      </c>
    </row>
    <row r="35" spans="1:28" ht="15" customHeight="1" x14ac:dyDescent="0.25">
      <c r="A35" s="56" t="s">
        <v>69</v>
      </c>
      <c r="B35" s="9"/>
      <c r="C35" s="9" t="s">
        <v>132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12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55" t="s">
        <v>12</v>
      </c>
    </row>
    <row r="36" spans="1:28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12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55" t="s">
        <v>12</v>
      </c>
    </row>
    <row r="37" spans="1:28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12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55" t="s">
        <v>12</v>
      </c>
    </row>
    <row r="38" spans="1:28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12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55" t="s">
        <v>12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12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55" t="s">
        <v>12</v>
      </c>
    </row>
    <row r="40" spans="1:28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12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55" t="s">
        <v>12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12</v>
      </c>
      <c r="AB41" s="55" t="s">
        <v>12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12</v>
      </c>
      <c r="AB42" s="55" t="s">
        <v>12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12</v>
      </c>
      <c r="AB43" s="55" t="s">
        <v>12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12</v>
      </c>
      <c r="AB44" s="55" t="s">
        <v>12</v>
      </c>
    </row>
    <row r="45" spans="1:2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12</v>
      </c>
      <c r="AB45" s="55" t="s">
        <v>12</v>
      </c>
    </row>
    <row r="46" spans="1:28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12</v>
      </c>
      <c r="AB46" s="55" t="s">
        <v>12</v>
      </c>
    </row>
    <row r="47" spans="1:28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12</v>
      </c>
      <c r="AB47" s="55" t="s">
        <v>12</v>
      </c>
    </row>
    <row r="48" spans="1:28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12</v>
      </c>
      <c r="AB48" s="55" t="s">
        <v>12</v>
      </c>
    </row>
    <row r="49" spans="1:28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12</v>
      </c>
      <c r="AB49" s="55" t="s">
        <v>12</v>
      </c>
    </row>
    <row r="50" spans="1:28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12</v>
      </c>
      <c r="AB50" s="55" t="s">
        <v>12</v>
      </c>
    </row>
    <row r="51" spans="1:28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12</v>
      </c>
      <c r="AB51" s="55" t="s">
        <v>12</v>
      </c>
    </row>
    <row r="52" spans="1:28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12</v>
      </c>
      <c r="AB52" s="55" t="s">
        <v>12</v>
      </c>
    </row>
    <row r="53" spans="1:28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12</v>
      </c>
      <c r="AB53" s="55" t="s">
        <v>12</v>
      </c>
    </row>
    <row r="54" spans="1:28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12</v>
      </c>
      <c r="AB54" s="55" t="s">
        <v>12</v>
      </c>
    </row>
    <row r="55" spans="1:28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12</v>
      </c>
      <c r="AB55" s="55" t="s">
        <v>12</v>
      </c>
    </row>
    <row r="56" spans="1:28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12</v>
      </c>
      <c r="AB56" s="55" t="s">
        <v>12</v>
      </c>
    </row>
    <row r="57" spans="1:28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12</v>
      </c>
      <c r="AB57" s="55" t="s">
        <v>12</v>
      </c>
    </row>
    <row r="58" spans="1:28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12</v>
      </c>
      <c r="AB58" s="55" t="s">
        <v>12</v>
      </c>
    </row>
    <row r="59" spans="1:28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12</v>
      </c>
      <c r="AB59" s="55" t="s">
        <v>12</v>
      </c>
    </row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40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40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40" ht="15" customHeight="1" x14ac:dyDescent="0.25">
      <c r="M4" s="9"/>
      <c r="N4" s="8" t="s">
        <v>12</v>
      </c>
      <c r="X4" s="63" t="str">
        <f>IF(Q9&lt;&gt;"ok","required:","NOT required:")</f>
        <v>NOT required:</v>
      </c>
      <c r="Y4" s="64"/>
      <c r="Z4" s="63" t="str">
        <f>IF(Q19&lt;&gt;"usual","required:","NOT required:")</f>
        <v>required:</v>
      </c>
      <c r="AA4" s="65"/>
      <c r="AB4" s="55" t="s">
        <v>12</v>
      </c>
    </row>
    <row r="5" spans="1:40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  <c r="AM5" s="9"/>
      <c r="AN5" s="9"/>
    </row>
    <row r="6" spans="1:40" ht="15" customHeight="1" x14ac:dyDescent="0.25">
      <c r="B6" s="7"/>
      <c r="C6" s="13" t="s">
        <v>18</v>
      </c>
      <c r="D6" s="33"/>
      <c r="E6" s="33"/>
      <c r="F6" s="16"/>
      <c r="G6" s="14"/>
      <c r="H6" s="34">
        <f t="shared" ref="H6:H32" si="0">AJ6</f>
        <v>1320</v>
      </c>
      <c r="I6" s="34">
        <f t="shared" ref="I6:I32" si="1">AK6</f>
        <v>1200</v>
      </c>
      <c r="J6" s="15">
        <f t="shared" ref="J6:J32" si="2">AL6</f>
        <v>1090.9090909090908</v>
      </c>
      <c r="M6" s="7"/>
      <c r="N6" s="8" t="s">
        <v>12</v>
      </c>
      <c r="O6" s="35" t="s">
        <v>19</v>
      </c>
      <c r="P6" s="36">
        <f>H8/H29</f>
        <v>3.686862272898765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 t="str">
        <f>IF(Q9="ok","",H8/(H29-T9))</f>
        <v/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1320</v>
      </c>
      <c r="AK6" s="84">
        <v>1200</v>
      </c>
      <c r="AL6" s="85">
        <v>1090.9090909090908</v>
      </c>
      <c r="AM6" s="100"/>
      <c r="AN6" s="100"/>
    </row>
    <row r="7" spans="1:40" ht="15" customHeight="1" x14ac:dyDescent="0.25">
      <c r="B7" s="7"/>
      <c r="C7" s="17" t="s">
        <v>20</v>
      </c>
      <c r="D7" s="39"/>
      <c r="E7" s="39"/>
      <c r="F7" s="40"/>
      <c r="G7" s="11"/>
      <c r="H7" s="41">
        <f t="shared" si="0"/>
        <v>939.84</v>
      </c>
      <c r="I7" s="41">
        <f t="shared" si="1"/>
        <v>892.8</v>
      </c>
      <c r="J7" s="21">
        <f t="shared" si="2"/>
        <v>820.36363636363637</v>
      </c>
      <c r="M7" s="7"/>
      <c r="N7" s="8" t="s">
        <v>12</v>
      </c>
      <c r="O7" s="35" t="s">
        <v>21</v>
      </c>
      <c r="P7" s="36">
        <f>H9/H29</f>
        <v>2.7884757646180161</v>
      </c>
      <c r="Q7" s="37" t="str">
        <f>IF(P7&gt;=300%,"unusual","ok")</f>
        <v>ok</v>
      </c>
      <c r="R7"/>
      <c r="S7"/>
      <c r="T7"/>
      <c r="U7" s="9"/>
      <c r="V7" s="38"/>
      <c r="X7" s="37" t="s">
        <v>21</v>
      </c>
      <c r="Y7" s="76" t="str">
        <f>IF(Q9="ok","",H9/(H29-T9))</f>
        <v/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939.84</v>
      </c>
      <c r="AK7" s="87">
        <v>892.8</v>
      </c>
      <c r="AL7" s="88">
        <v>820.36363636363637</v>
      </c>
      <c r="AM7" s="9"/>
      <c r="AN7" s="9"/>
    </row>
    <row r="8" spans="1:40" ht="15" customHeight="1" x14ac:dyDescent="0.25">
      <c r="B8" s="7"/>
      <c r="C8" s="17" t="s">
        <v>22</v>
      </c>
      <c r="D8" s="39"/>
      <c r="E8" s="39"/>
      <c r="F8" s="40"/>
      <c r="G8" s="11"/>
      <c r="H8" s="41">
        <f t="shared" si="0"/>
        <v>1260</v>
      </c>
      <c r="I8" s="41">
        <f t="shared" si="1"/>
        <v>1145.4545454545453</v>
      </c>
      <c r="J8" s="21">
        <f t="shared" si="2"/>
        <v>1041.3223140495866</v>
      </c>
      <c r="M8" s="7"/>
      <c r="N8" s="8" t="s">
        <v>12</v>
      </c>
      <c r="O8" s="35" t="s">
        <v>23</v>
      </c>
      <c r="P8" s="36">
        <f>(H9-I9)/I9</f>
        <v>0.13402061855670122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1260</v>
      </c>
      <c r="AK8" s="87">
        <v>1145.4545454545453</v>
      </c>
      <c r="AL8" s="88">
        <v>1041.3223140495866</v>
      </c>
      <c r="AM8" s="9"/>
      <c r="AN8" s="9"/>
    </row>
    <row r="9" spans="1:40" ht="15" customHeight="1" x14ac:dyDescent="0.25">
      <c r="B9" s="7"/>
      <c r="C9" s="18" t="s">
        <v>24</v>
      </c>
      <c r="D9" s="42"/>
      <c r="E9" s="42"/>
      <c r="F9" s="12"/>
      <c r="G9" s="19"/>
      <c r="H9" s="43">
        <f t="shared" si="0"/>
        <v>952.97280000000001</v>
      </c>
      <c r="I9" s="43">
        <f t="shared" si="1"/>
        <v>840.34874181818168</v>
      </c>
      <c r="J9" s="20">
        <f t="shared" si="2"/>
        <v>802.15107173553702</v>
      </c>
      <c r="M9" s="7"/>
      <c r="N9" s="8" t="s">
        <v>12</v>
      </c>
      <c r="O9" s="35" t="s">
        <v>25</v>
      </c>
      <c r="P9" s="36">
        <f>T9/H29</f>
        <v>4.8666582002263703E-2</v>
      </c>
      <c r="Q9" s="37" t="str">
        <f>IF(P9&gt;=15%,"unusual","ok")</f>
        <v>ok</v>
      </c>
      <c r="R9" s="44" t="s">
        <v>26</v>
      </c>
      <c r="S9" s="37" t="s">
        <v>27</v>
      </c>
      <c r="T9" s="45">
        <f>(SUM(H13:H14)/SUM(H11:H12))*H26</f>
        <v>16.632000000000001</v>
      </c>
      <c r="U9" s="9"/>
      <c r="V9" s="38"/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952.97280000000001</v>
      </c>
      <c r="AK9" s="92">
        <v>840.34874181818168</v>
      </c>
      <c r="AL9" s="93">
        <v>802.15107173553702</v>
      </c>
      <c r="AM9" s="9"/>
      <c r="AN9" s="9"/>
    </row>
    <row r="10" spans="1:40" ht="15" customHeight="1" x14ac:dyDescent="0.25">
      <c r="B10" s="7"/>
      <c r="C10" s="17" t="s">
        <v>28</v>
      </c>
      <c r="D10" s="39"/>
      <c r="E10" s="39"/>
      <c r="F10" s="40"/>
      <c r="G10" s="11"/>
      <c r="H10" s="41">
        <f t="shared" si="0"/>
        <v>46.873199999999997</v>
      </c>
      <c r="I10" s="41">
        <f t="shared" si="1"/>
        <v>84.588000000000008</v>
      </c>
      <c r="J10" s="21">
        <f t="shared" si="2"/>
        <v>43.941818181818171</v>
      </c>
      <c r="M10" s="7"/>
      <c r="N10" s="8" t="s">
        <v>12</v>
      </c>
      <c r="O10"/>
      <c r="P10" s="36"/>
      <c r="Q10" s="35"/>
      <c r="R10"/>
      <c r="S10"/>
      <c r="T10"/>
      <c r="U10" s="9"/>
      <c r="V10" s="38"/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46.873199999999997</v>
      </c>
      <c r="AK10" s="87">
        <v>84.588000000000008</v>
      </c>
      <c r="AL10" s="88">
        <v>43.941818181818171</v>
      </c>
      <c r="AM10" s="101"/>
      <c r="AN10" s="101"/>
    </row>
    <row r="11" spans="1:40" ht="15" customHeight="1" x14ac:dyDescent="0.25">
      <c r="B11" s="7"/>
      <c r="C11" s="13" t="s">
        <v>29</v>
      </c>
      <c r="D11" s="33"/>
      <c r="E11" s="33"/>
      <c r="F11" s="16"/>
      <c r="G11" s="14"/>
      <c r="H11" s="34">
        <f t="shared" si="0"/>
        <v>142.56</v>
      </c>
      <c r="I11" s="34">
        <f t="shared" si="1"/>
        <v>115.20000000000002</v>
      </c>
      <c r="J11" s="15">
        <f t="shared" si="2"/>
        <v>101.45454545454541</v>
      </c>
      <c r="M11" s="7"/>
      <c r="N11" s="8" t="s">
        <v>12</v>
      </c>
      <c r="O11" s="35" t="s">
        <v>30</v>
      </c>
      <c r="P11" s="36">
        <f>T11+T12-T13</f>
        <v>0.9697182208905516</v>
      </c>
      <c r="Q11" s="46" t="str">
        <f>IF(P11&lt;100%,"usual","not ok")</f>
        <v>usual</v>
      </c>
      <c r="R11" s="44" t="s">
        <v>26</v>
      </c>
      <c r="S11" s="37" t="s">
        <v>31</v>
      </c>
      <c r="T11" s="47">
        <f>(SUM(H16:I16)+SUM(H17:I17))/SUM(H7:I7)</f>
        <v>0.88863947734772142</v>
      </c>
      <c r="U11" s="47"/>
      <c r="V11" s="47"/>
      <c r="X11" s="94" t="s">
        <v>30</v>
      </c>
      <c r="Y11" s="77" t="s">
        <v>80</v>
      </c>
      <c r="Z11" s="9"/>
      <c r="AA11" s="95">
        <f>(H16+H17)/H7+(H18-H15)/H9-H10/H7</f>
        <v>1.0314318717995967</v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6">
        <v>142.56</v>
      </c>
      <c r="AK11" s="96">
        <v>115.20000000000002</v>
      </c>
      <c r="AL11" s="97">
        <v>101.45454545454541</v>
      </c>
      <c r="AM11" s="9"/>
      <c r="AN11" s="9"/>
    </row>
    <row r="12" spans="1:40" ht="15" customHeight="1" x14ac:dyDescent="0.25">
      <c r="B12" s="7"/>
      <c r="C12" s="17" t="s">
        <v>32</v>
      </c>
      <c r="D12" s="39"/>
      <c r="E12" s="39"/>
      <c r="F12" s="40"/>
      <c r="G12" s="11"/>
      <c r="H12" s="41">
        <f t="shared" si="0"/>
        <v>237.59999999999997</v>
      </c>
      <c r="I12" s="41">
        <f t="shared" si="1"/>
        <v>192.00000000000003</v>
      </c>
      <c r="J12" s="21">
        <f t="shared" si="2"/>
        <v>169.09090909090901</v>
      </c>
      <c r="M12" s="7"/>
      <c r="N12" s="8" t="s">
        <v>12</v>
      </c>
      <c r="O12" s="35" t="s">
        <v>33</v>
      </c>
      <c r="P12" s="48">
        <f>2*H10/(SUM(H19:I19)+SUM(H20:I20)-SUM(H28:I28)-H10)</f>
        <v>3.5477831203807618E-2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(SUM(H18:I18)-SUM(H15:I15))/SUM(H9:I9)</f>
        <v>0.15281198083984429</v>
      </c>
      <c r="U12" s="47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f>1-0.375</f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237.59999999999997</v>
      </c>
      <c r="AK12" s="87">
        <v>192.00000000000003</v>
      </c>
      <c r="AL12" s="88">
        <v>169.09090909090901</v>
      </c>
      <c r="AM12" s="9"/>
      <c r="AN12" s="9"/>
    </row>
    <row r="13" spans="1:40" ht="15" customHeight="1" x14ac:dyDescent="0.25">
      <c r="B13" s="7"/>
      <c r="C13" s="17" t="s">
        <v>35</v>
      </c>
      <c r="D13" s="39"/>
      <c r="E13" s="39"/>
      <c r="F13" s="40"/>
      <c r="G13" s="11"/>
      <c r="H13" s="41">
        <f t="shared" si="0"/>
        <v>41.58</v>
      </c>
      <c r="I13" s="41">
        <f t="shared" si="1"/>
        <v>33.6</v>
      </c>
      <c r="J13" s="21">
        <f t="shared" si="2"/>
        <v>29.590909090909072</v>
      </c>
      <c r="M13" s="7"/>
      <c r="N13" s="8" t="s">
        <v>12</v>
      </c>
      <c r="O13" s="35" t="s">
        <v>36</v>
      </c>
      <c r="P13" s="48">
        <f>(H29-I29)/I29</f>
        <v>0.35972222222222217</v>
      </c>
      <c r="Q13" s="46" t="str">
        <f>IF(AND(P13&gt;-10%,P13&lt;50%),"usual","not ok")</f>
        <v>usual</v>
      </c>
      <c r="R13"/>
      <c r="S13" s="37" t="s">
        <v>37</v>
      </c>
      <c r="T13" s="47">
        <f>SUM(H10:I10)/SUM(H7:I7)</f>
        <v>7.1733237297014155E-2</v>
      </c>
      <c r="U13" s="47"/>
      <c r="V13" s="38"/>
      <c r="X13" s="37" t="s">
        <v>36</v>
      </c>
      <c r="Y13" s="76" t="str">
        <f>IF(Q9="ok","",(H29-T9-I29)/I29)</f>
        <v/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41.58</v>
      </c>
      <c r="AK13" s="87">
        <v>33.6</v>
      </c>
      <c r="AL13" s="88">
        <v>29.590909090909072</v>
      </c>
      <c r="AM13" s="9"/>
      <c r="AN13" s="9"/>
    </row>
    <row r="14" spans="1:40" ht="15" customHeight="1" x14ac:dyDescent="0.25">
      <c r="B14" s="7"/>
      <c r="C14" s="18" t="s">
        <v>38</v>
      </c>
      <c r="D14" s="42"/>
      <c r="E14" s="42"/>
      <c r="F14" s="12"/>
      <c r="G14" s="19"/>
      <c r="H14" s="43">
        <f t="shared" si="0"/>
        <v>24.947999999999997</v>
      </c>
      <c r="I14" s="43">
        <f t="shared" si="1"/>
        <v>20.160000000000004</v>
      </c>
      <c r="J14" s="20">
        <f t="shared" si="2"/>
        <v>17.754545454545443</v>
      </c>
      <c r="M14" s="7"/>
      <c r="N14" s="8" t="s">
        <v>12</v>
      </c>
      <c r="O14" s="35" t="s">
        <v>39</v>
      </c>
      <c r="P14" s="48">
        <f>(H29-I29-H30)/I29</f>
        <v>0.19369658119658115</v>
      </c>
      <c r="Q14" s="46" t="str">
        <f>IF(AND(P14&gt;-10%,P14&lt;25%),"usual","not ok")</f>
        <v>usual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24.947999999999997</v>
      </c>
      <c r="AK14" s="92">
        <v>20.160000000000004</v>
      </c>
      <c r="AL14" s="93">
        <v>17.754545454545443</v>
      </c>
      <c r="AM14" s="9"/>
      <c r="AN14" s="9"/>
    </row>
    <row r="15" spans="1:40" ht="15" customHeight="1" x14ac:dyDescent="0.25">
      <c r="B15" s="7"/>
      <c r="C15" s="17" t="s">
        <v>40</v>
      </c>
      <c r="D15" s="39"/>
      <c r="E15" s="39"/>
      <c r="F15" s="40"/>
      <c r="G15" s="11"/>
      <c r="H15" s="41">
        <f t="shared" si="0"/>
        <v>25.731511871999995</v>
      </c>
      <c r="I15" s="41">
        <f t="shared" si="1"/>
        <v>42.977471039999998</v>
      </c>
      <c r="J15" s="21">
        <f t="shared" si="2"/>
        <v>21.299478109090902</v>
      </c>
      <c r="M15" s="7"/>
      <c r="N15" s="8" t="s">
        <v>12</v>
      </c>
      <c r="O15"/>
      <c r="P15" s="36"/>
      <c r="Q15" s="35"/>
      <c r="R15"/>
      <c r="S15"/>
      <c r="T15"/>
      <c r="U15" s="9"/>
      <c r="V15" s="47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25.731511871999995</v>
      </c>
      <c r="AK15" s="87">
        <v>42.977471039999998</v>
      </c>
      <c r="AL15" s="88">
        <v>21.299478109090902</v>
      </c>
      <c r="AM15" s="9"/>
      <c r="AN15" s="9"/>
    </row>
    <row r="16" spans="1:40" ht="15" customHeight="1" x14ac:dyDescent="0.25">
      <c r="B16" s="7"/>
      <c r="C16" s="13" t="s">
        <v>41</v>
      </c>
      <c r="D16" s="33"/>
      <c r="E16" s="33"/>
      <c r="F16" s="16"/>
      <c r="G16" s="14"/>
      <c r="H16" s="34">
        <f t="shared" si="0"/>
        <v>845.85600000000011</v>
      </c>
      <c r="I16" s="34">
        <f t="shared" si="1"/>
        <v>758.88</v>
      </c>
      <c r="J16" s="15">
        <f t="shared" si="2"/>
        <v>656.29090909090917</v>
      </c>
      <c r="M16" s="7"/>
      <c r="N16" s="8" t="s">
        <v>12</v>
      </c>
      <c r="O16" s="35" t="s">
        <v>42</v>
      </c>
      <c r="P16" s="36">
        <f>(H24-H23)/H21</f>
        <v>1.093417591721543</v>
      </c>
      <c r="Q16" s="46" t="str">
        <f>IF(P16&lt;100%,"usual","not ok")</f>
        <v>not ok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6">
        <v>845.85600000000011</v>
      </c>
      <c r="AK16" s="84">
        <v>758.88</v>
      </c>
      <c r="AL16" s="97">
        <v>656.29090909090917</v>
      </c>
      <c r="AM16" s="9"/>
      <c r="AN16" s="9"/>
    </row>
    <row r="17" spans="1:40" ht="15" customHeight="1" x14ac:dyDescent="0.25">
      <c r="B17" s="7"/>
      <c r="C17" s="17" t="s">
        <v>43</v>
      </c>
      <c r="D17" s="39"/>
      <c r="E17" s="39"/>
      <c r="F17" s="40"/>
      <c r="G17" s="11"/>
      <c r="H17" s="41">
        <f t="shared" si="0"/>
        <v>8.6399607127679996</v>
      </c>
      <c r="I17" s="41">
        <f t="shared" si="1"/>
        <v>15.18029105376</v>
      </c>
      <c r="J17" s="21">
        <f t="shared" si="2"/>
        <v>7.7637142586181787</v>
      </c>
      <c r="M17" s="7"/>
      <c r="N17" s="8" t="s">
        <v>12</v>
      </c>
      <c r="O17" s="35" t="s">
        <v>44</v>
      </c>
      <c r="P17" s="36">
        <f>H22/H29</f>
        <v>0.24333291001131849</v>
      </c>
      <c r="Q17" s="46" t="str">
        <f>IF(P17&lt;40%,"usual","not ok")</f>
        <v>usual</v>
      </c>
      <c r="R17"/>
      <c r="S17"/>
      <c r="T17"/>
      <c r="U17" s="9"/>
      <c r="V17" s="38"/>
      <c r="X17" s="37" t="s">
        <v>44</v>
      </c>
      <c r="Y17" s="76" t="str">
        <f>IF(Q9="ok","",H22/(H29-T9))</f>
        <v/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8.6399607127679996</v>
      </c>
      <c r="AK17" s="87">
        <v>15.18029105376</v>
      </c>
      <c r="AL17" s="88">
        <v>7.7637142586181787</v>
      </c>
      <c r="AM17" s="9"/>
      <c r="AN17" s="9"/>
    </row>
    <row r="18" spans="1:40" ht="15" customHeight="1" x14ac:dyDescent="0.25">
      <c r="B18" s="7"/>
      <c r="C18" s="17" t="s">
        <v>45</v>
      </c>
      <c r="D18" s="39"/>
      <c r="E18" s="39"/>
      <c r="F18" s="40"/>
      <c r="G18" s="11"/>
      <c r="H18" s="41">
        <f t="shared" si="0"/>
        <v>189.75</v>
      </c>
      <c r="I18" s="41">
        <f t="shared" si="1"/>
        <v>153</v>
      </c>
      <c r="J18" s="21">
        <f t="shared" si="2"/>
        <v>162.27272727272725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189.75</v>
      </c>
      <c r="AK18" s="87">
        <v>153</v>
      </c>
      <c r="AL18" s="88">
        <v>162.27272727272725</v>
      </c>
      <c r="AM18" s="9"/>
      <c r="AN18" s="9"/>
    </row>
    <row r="19" spans="1:40" ht="15" customHeight="1" x14ac:dyDescent="0.25">
      <c r="B19" s="7"/>
      <c r="C19" s="17" t="s">
        <v>46</v>
      </c>
      <c r="D19" s="39"/>
      <c r="E19" s="39"/>
      <c r="F19" s="40"/>
      <c r="G19" s="11"/>
      <c r="H19" s="41">
        <f t="shared" si="0"/>
        <v>1403.16</v>
      </c>
      <c r="I19" s="41">
        <f t="shared" si="1"/>
        <v>1275.5999999999999</v>
      </c>
      <c r="J19" s="21">
        <f t="shared" si="2"/>
        <v>1159.6363636363635</v>
      </c>
      <c r="M19" s="7"/>
      <c r="N19" s="8" t="s">
        <v>12</v>
      </c>
      <c r="O19" s="35" t="s">
        <v>47</v>
      </c>
      <c r="P19" s="49">
        <f>H31/I29</f>
        <v>0.24915436020130391</v>
      </c>
      <c r="Q19" s="46" t="str">
        <f>IF(P19&lt;20%,"usual","not ok")</f>
        <v>not ok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1403.16</v>
      </c>
      <c r="AK19" s="87">
        <v>1275.5999999999999</v>
      </c>
      <c r="AL19" s="88">
        <v>1159.6363636363635</v>
      </c>
      <c r="AM19" s="9"/>
      <c r="AN19" s="9"/>
    </row>
    <row r="20" spans="1:40" ht="15" customHeight="1" x14ac:dyDescent="0.25">
      <c r="B20" s="7"/>
      <c r="C20" s="17" t="s">
        <v>48</v>
      </c>
      <c r="D20" s="39"/>
      <c r="E20" s="39"/>
      <c r="F20" s="40"/>
      <c r="G20" s="11"/>
      <c r="H20" s="41">
        <f t="shared" si="0"/>
        <v>4.3199803563839998</v>
      </c>
      <c r="I20" s="41">
        <f t="shared" si="1"/>
        <v>7.5901455268799998</v>
      </c>
      <c r="J20" s="21">
        <f t="shared" si="2"/>
        <v>3.8818571293090893</v>
      </c>
      <c r="M20" s="7"/>
      <c r="N20" s="8" t="s">
        <v>12</v>
      </c>
      <c r="O20" s="35" t="s">
        <v>49</v>
      </c>
      <c r="P20" s="49">
        <f>H32/J29</f>
        <v>0.51389851681331344</v>
      </c>
      <c r="Q20" s="46" t="str">
        <f>IF(P20&lt;20%,"usual","not ok")</f>
        <v>not ok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4.3199803563839998</v>
      </c>
      <c r="AK20" s="87">
        <v>7.5901455268799998</v>
      </c>
      <c r="AL20" s="88">
        <v>3.8818571293090893</v>
      </c>
      <c r="AM20" s="9"/>
      <c r="AN20" s="9"/>
    </row>
    <row r="21" spans="1:40" ht="15" customHeight="1" x14ac:dyDescent="0.25">
      <c r="B21" s="7"/>
      <c r="C21" s="17" t="s">
        <v>50</v>
      </c>
      <c r="D21" s="39"/>
      <c r="E21" s="39"/>
      <c r="F21" s="40"/>
      <c r="G21" s="11"/>
      <c r="H21" s="41">
        <f t="shared" si="0"/>
        <v>2806.32</v>
      </c>
      <c r="I21" s="41">
        <f t="shared" si="1"/>
        <v>2551.1999999999998</v>
      </c>
      <c r="J21" s="21">
        <f t="shared" si="2"/>
        <v>2319.272727272727</v>
      </c>
      <c r="M21" s="7"/>
      <c r="N21" s="8" t="s">
        <v>12</v>
      </c>
      <c r="O21" s="35" t="s">
        <v>51</v>
      </c>
      <c r="P21" s="36">
        <f>T21/H29</f>
        <v>0.28708662147641145</v>
      </c>
      <c r="Q21" s="46" t="str">
        <f>IF(P21&lt;25%,"usual","not ok")</f>
        <v>not ok</v>
      </c>
      <c r="R21" s="44" t="s">
        <v>26</v>
      </c>
      <c r="S21" s="37" t="s">
        <v>52</v>
      </c>
      <c r="T21" s="51">
        <f>T22-H27</f>
        <v>98.113006748112639</v>
      </c>
      <c r="U21" s="9"/>
      <c r="V21" s="38"/>
      <c r="X21" s="37" t="s">
        <v>51</v>
      </c>
      <c r="Y21" s="76" t="str">
        <f>IF(Q9="ok","",T21/(H29-T9))</f>
        <v/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2806.32</v>
      </c>
      <c r="AK21" s="87">
        <v>2551.1999999999998</v>
      </c>
      <c r="AL21" s="88">
        <v>2319.272727272727</v>
      </c>
      <c r="AM21" s="9"/>
      <c r="AN21" s="9"/>
    </row>
    <row r="22" spans="1:40" ht="15" customHeight="1" x14ac:dyDescent="0.25">
      <c r="B22" s="7"/>
      <c r="C22" s="17" t="s">
        <v>53</v>
      </c>
      <c r="D22" s="39"/>
      <c r="E22" s="39"/>
      <c r="F22" s="40"/>
      <c r="G22" s="11"/>
      <c r="H22" s="41">
        <f t="shared" si="0"/>
        <v>83.16</v>
      </c>
      <c r="I22" s="41">
        <f t="shared" si="1"/>
        <v>0</v>
      </c>
      <c r="J22" s="21">
        <f t="shared" si="2"/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T23*H7</f>
        <v>391.81300674811263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83.16</v>
      </c>
      <c r="AK22" s="87"/>
      <c r="AL22" s="88"/>
      <c r="AM22" s="9"/>
      <c r="AN22" s="9"/>
    </row>
    <row r="23" spans="1:40" ht="15" customHeight="1" x14ac:dyDescent="0.25">
      <c r="B23" s="7"/>
      <c r="C23" s="18" t="s">
        <v>55</v>
      </c>
      <c r="D23" s="42"/>
      <c r="E23" s="42"/>
      <c r="F23" s="12"/>
      <c r="G23" s="19"/>
      <c r="H23" s="43">
        <f t="shared" si="0"/>
        <v>29.416992000000004</v>
      </c>
      <c r="I23" s="43">
        <f t="shared" si="1"/>
        <v>0</v>
      </c>
      <c r="J23" s="20">
        <f t="shared" si="2"/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0.41689330816746745</v>
      </c>
      <c r="U23" s="44" t="s">
        <v>26</v>
      </c>
      <c r="V23" s="53" t="s">
        <v>57</v>
      </c>
      <c r="W23" s="50">
        <f>(I27+H31)/I7</f>
        <v>0.38264193548387104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29.416992000000004</v>
      </c>
      <c r="AK23" s="92"/>
      <c r="AL23" s="93"/>
      <c r="AM23" s="9"/>
      <c r="AN23" s="9"/>
    </row>
    <row r="24" spans="1:40" ht="15" customHeight="1" x14ac:dyDescent="0.25">
      <c r="B24" s="7"/>
      <c r="C24" s="17" t="s">
        <v>58</v>
      </c>
      <c r="D24" s="39"/>
      <c r="E24" s="39"/>
      <c r="F24" s="40"/>
      <c r="G24" s="11"/>
      <c r="H24" s="41">
        <f t="shared" si="0"/>
        <v>3097.8966480000004</v>
      </c>
      <c r="I24" s="41">
        <f t="shared" si="1"/>
        <v>2795.0947199999996</v>
      </c>
      <c r="J24" s="21">
        <f t="shared" si="2"/>
        <v>2136.7459636363633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(J27+H32)/J7</f>
        <v>0.45114468085106385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3097.8966480000004</v>
      </c>
      <c r="AK24" s="87">
        <v>2795.0947199999996</v>
      </c>
      <c r="AL24" s="88">
        <v>2136.7459636363633</v>
      </c>
      <c r="AM24" s="9"/>
      <c r="AN24" s="9"/>
    </row>
    <row r="25" spans="1:40" ht="15" customHeight="1" x14ac:dyDescent="0.25">
      <c r="B25" s="7"/>
      <c r="C25" s="13" t="s">
        <v>60</v>
      </c>
      <c r="D25" s="33"/>
      <c r="E25" s="33"/>
      <c r="F25" s="16"/>
      <c r="G25" s="14"/>
      <c r="H25" s="34">
        <f t="shared" si="0"/>
        <v>71.28</v>
      </c>
      <c r="I25" s="34">
        <f t="shared" si="1"/>
        <v>0</v>
      </c>
      <c r="J25" s="15">
        <f t="shared" si="2"/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6">
        <v>71.28</v>
      </c>
      <c r="AK25" s="96"/>
      <c r="AL25" s="97"/>
      <c r="AM25" s="9"/>
      <c r="AN25" s="9"/>
    </row>
    <row r="26" spans="1:40" ht="15" customHeight="1" x14ac:dyDescent="0.25">
      <c r="B26" s="7"/>
      <c r="C26" s="17" t="s">
        <v>61</v>
      </c>
      <c r="D26" s="39"/>
      <c r="E26" s="39"/>
      <c r="F26" s="40"/>
      <c r="G26" s="11"/>
      <c r="H26" s="41">
        <f t="shared" si="0"/>
        <v>95.04</v>
      </c>
      <c r="I26" s="41">
        <f t="shared" si="1"/>
        <v>0</v>
      </c>
      <c r="J26" s="21">
        <f t="shared" si="2"/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95.04</v>
      </c>
      <c r="AK26" s="92"/>
      <c r="AL26" s="93"/>
      <c r="AM26" s="9"/>
      <c r="AN26" s="9"/>
    </row>
    <row r="27" spans="1:40" ht="15" customHeight="1" x14ac:dyDescent="0.25">
      <c r="B27" s="7"/>
      <c r="C27" s="13" t="s">
        <v>62</v>
      </c>
      <c r="D27" s="33"/>
      <c r="E27" s="33"/>
      <c r="F27" s="16"/>
      <c r="G27" s="14"/>
      <c r="H27" s="34">
        <f t="shared" si="0"/>
        <v>293.7</v>
      </c>
      <c r="I27" s="34">
        <f t="shared" si="1"/>
        <v>279</v>
      </c>
      <c r="J27" s="15">
        <f t="shared" si="2"/>
        <v>256.36363636363637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293.7</v>
      </c>
      <c r="AK27" s="87">
        <v>279</v>
      </c>
      <c r="AL27" s="88">
        <v>256.36363636363637</v>
      </c>
      <c r="AM27" s="9"/>
      <c r="AN27" s="9"/>
    </row>
    <row r="28" spans="1:40" ht="15" customHeight="1" x14ac:dyDescent="0.25">
      <c r="B28" s="7"/>
      <c r="C28" s="17" t="s">
        <v>63</v>
      </c>
      <c r="D28" s="39"/>
      <c r="E28" s="39"/>
      <c r="F28" s="40"/>
      <c r="G28" s="11"/>
      <c r="H28" s="41">
        <f t="shared" si="0"/>
        <v>1.4031600000000004</v>
      </c>
      <c r="I28" s="41">
        <f t="shared" si="1"/>
        <v>0</v>
      </c>
      <c r="J28" s="21">
        <f t="shared" si="2"/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1.4031600000000004</v>
      </c>
      <c r="AK28" s="87"/>
      <c r="AL28" s="88"/>
      <c r="AM28" s="9"/>
      <c r="AN28" s="9"/>
    </row>
    <row r="29" spans="1:40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f t="shared" si="0"/>
        <v>341.75401919999996</v>
      </c>
      <c r="I29" s="41">
        <f t="shared" si="1"/>
        <v>251.34105599999998</v>
      </c>
      <c r="J29" s="21">
        <f t="shared" si="2"/>
        <v>221.32590545454548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341.75401919999996</v>
      </c>
      <c r="AK29" s="87">
        <v>251.34105599999998</v>
      </c>
      <c r="AL29" s="88">
        <v>221.32590545454548</v>
      </c>
      <c r="AM29" s="9"/>
      <c r="AN29" s="9"/>
    </row>
    <row r="30" spans="1:40" ht="15" customHeight="1" x14ac:dyDescent="0.25">
      <c r="B30" s="7"/>
      <c r="C30" s="18" t="s">
        <v>64</v>
      </c>
      <c r="D30" s="42"/>
      <c r="E30" s="42"/>
      <c r="F30" s="12"/>
      <c r="G30" s="19"/>
      <c r="H30" s="43">
        <f t="shared" si="0"/>
        <v>41.729059938461532</v>
      </c>
      <c r="I30" s="43">
        <f t="shared" si="1"/>
        <v>13.853146405594387</v>
      </c>
      <c r="J30" s="20">
        <f t="shared" si="2"/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f>6/13</f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41.729059938461532</v>
      </c>
      <c r="AK30" s="89">
        <v>13.853146405594387</v>
      </c>
      <c r="AL30" s="88"/>
      <c r="AM30" s="9"/>
      <c r="AN30" s="9"/>
    </row>
    <row r="31" spans="1:40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f t="shared" si="0"/>
        <v>62.622720000000093</v>
      </c>
      <c r="I31" s="34">
        <f t="shared" si="1"/>
        <v>73.864145454545408</v>
      </c>
      <c r="J31" s="15">
        <f t="shared" si="2"/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6">
        <v>62.622720000000093</v>
      </c>
      <c r="AK31" s="96">
        <v>73.864145454545408</v>
      </c>
      <c r="AL31" s="97"/>
      <c r="AM31" s="9"/>
      <c r="AN31" s="9"/>
    </row>
    <row r="32" spans="1:40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f t="shared" si="0"/>
        <v>113.73905454545456</v>
      </c>
      <c r="I32" s="43">
        <f t="shared" si="1"/>
        <v>0</v>
      </c>
      <c r="J32" s="20">
        <f t="shared" si="2"/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113.73905454545456</v>
      </c>
      <c r="AK32" s="98"/>
      <c r="AL32" s="99"/>
      <c r="AM32" s="51"/>
      <c r="AN32" s="51"/>
    </row>
    <row r="33" spans="1:39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54"/>
      <c r="K33" s="54"/>
      <c r="L33" s="54"/>
      <c r="M33" s="54"/>
      <c r="N33" s="8" t="s">
        <v>12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12</v>
      </c>
    </row>
    <row r="34" spans="1:39" ht="15" customHeight="1" x14ac:dyDescent="0.25">
      <c r="A34" s="9" t="s">
        <v>69</v>
      </c>
      <c r="B34" s="9"/>
      <c r="C34" s="9" t="s">
        <v>132</v>
      </c>
      <c r="D34" s="9"/>
      <c r="E34" s="9"/>
      <c r="F34" s="9"/>
      <c r="G34" s="9"/>
      <c r="H34" s="9"/>
      <c r="I34" s="9"/>
      <c r="J34" s="54"/>
      <c r="K34" s="54"/>
      <c r="L34" s="54"/>
      <c r="M34" s="54"/>
      <c r="N34" s="8" t="s">
        <v>12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12</v>
      </c>
    </row>
    <row r="35" spans="1:39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54"/>
      <c r="K35" s="54"/>
      <c r="L35" s="54"/>
      <c r="M35" s="54"/>
      <c r="N35" s="8" t="s">
        <v>12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12</v>
      </c>
    </row>
    <row r="36" spans="1:39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54"/>
      <c r="K36" s="54"/>
      <c r="L36" s="54"/>
      <c r="M36" s="54"/>
      <c r="N36" s="8" t="s">
        <v>12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12</v>
      </c>
    </row>
    <row r="37" spans="1:39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54"/>
      <c r="K37" s="54"/>
      <c r="L37" s="54"/>
      <c r="M37" s="54"/>
      <c r="N37" s="8" t="s">
        <v>12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12</v>
      </c>
    </row>
    <row r="38" spans="1:39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54"/>
      <c r="K38" s="54"/>
      <c r="L38" s="54"/>
      <c r="M38" s="54"/>
      <c r="N38" s="8" t="s">
        <v>12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12</v>
      </c>
    </row>
    <row r="39" spans="1:3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54"/>
      <c r="K39" s="54"/>
      <c r="L39" s="54"/>
      <c r="M39" s="54"/>
      <c r="N39" s="8" t="s">
        <v>12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12</v>
      </c>
    </row>
    <row r="40" spans="1:39" ht="15" customHeight="1" x14ac:dyDescent="0.25">
      <c r="N40" s="8" t="s">
        <v>12</v>
      </c>
      <c r="AB40" s="8" t="s">
        <v>12</v>
      </c>
    </row>
    <row r="41" spans="1:39" ht="15" customHeight="1" x14ac:dyDescent="0.25">
      <c r="N41" s="8" t="s">
        <v>12</v>
      </c>
      <c r="AB41" s="8" t="s">
        <v>12</v>
      </c>
    </row>
    <row r="42" spans="1:39" ht="15" customHeight="1" x14ac:dyDescent="0.25">
      <c r="N42" s="8" t="s">
        <v>12</v>
      </c>
      <c r="AB42" s="8" t="s">
        <v>12</v>
      </c>
    </row>
    <row r="43" spans="1:39" ht="15" customHeight="1" x14ac:dyDescent="0.25">
      <c r="N43" s="8" t="s">
        <v>12</v>
      </c>
      <c r="AB43" s="8" t="s">
        <v>12</v>
      </c>
    </row>
    <row r="44" spans="1:39" ht="15" customHeight="1" x14ac:dyDescent="0.25">
      <c r="N44" s="8" t="s">
        <v>12</v>
      </c>
      <c r="AB44" s="8" t="s">
        <v>12</v>
      </c>
    </row>
    <row r="45" spans="1:39" ht="15" customHeight="1" x14ac:dyDescent="0.25">
      <c r="N45" s="8" t="s">
        <v>12</v>
      </c>
      <c r="AB45" s="8" t="s">
        <v>12</v>
      </c>
    </row>
    <row r="46" spans="1:39" ht="15" customHeight="1" x14ac:dyDescent="0.25">
      <c r="N46" s="8" t="s">
        <v>12</v>
      </c>
      <c r="AB46" s="8" t="s">
        <v>12</v>
      </c>
    </row>
    <row r="47" spans="1:39" ht="15" customHeight="1" x14ac:dyDescent="0.25">
      <c r="N47" s="8" t="s">
        <v>12</v>
      </c>
      <c r="AB47" s="8" t="s">
        <v>12</v>
      </c>
    </row>
    <row r="48" spans="1:39" ht="15" customHeight="1" x14ac:dyDescent="0.25">
      <c r="N48" s="8" t="s">
        <v>12</v>
      </c>
      <c r="AB48" s="55" t="s">
        <v>12</v>
      </c>
      <c r="AI48" s="102"/>
      <c r="AJ48" s="102"/>
      <c r="AK48" s="102"/>
      <c r="AL48" s="102"/>
      <c r="AM48" s="102"/>
    </row>
    <row r="49" spans="14:32" ht="15" customHeight="1" x14ac:dyDescent="0.25">
      <c r="N49" s="8" t="s">
        <v>12</v>
      </c>
      <c r="AB49" s="55" t="s">
        <v>12</v>
      </c>
    </row>
    <row r="50" spans="14:32" ht="15" customHeight="1" x14ac:dyDescent="0.25">
      <c r="N50" s="8" t="s">
        <v>12</v>
      </c>
      <c r="AB50" s="55" t="s">
        <v>12</v>
      </c>
    </row>
    <row r="51" spans="14:32" ht="15" customHeight="1" x14ac:dyDescent="0.25">
      <c r="N51" s="8" t="s">
        <v>12</v>
      </c>
      <c r="AB51" s="55" t="s">
        <v>12</v>
      </c>
    </row>
    <row r="52" spans="14:32" ht="15" customHeight="1" x14ac:dyDescent="0.25">
      <c r="N52" s="8" t="s">
        <v>12</v>
      </c>
      <c r="AB52" s="55" t="s">
        <v>12</v>
      </c>
    </row>
    <row r="53" spans="14:32" ht="15" customHeight="1" x14ac:dyDescent="0.25">
      <c r="N53" s="8" t="s">
        <v>12</v>
      </c>
      <c r="AB53" s="55" t="s">
        <v>12</v>
      </c>
    </row>
    <row r="54" spans="14:32" ht="15" customHeight="1" x14ac:dyDescent="0.25">
      <c r="N54" s="8" t="s">
        <v>12</v>
      </c>
      <c r="AB54" s="55" t="s">
        <v>12</v>
      </c>
    </row>
    <row r="55" spans="14:32" ht="15" customHeight="1" x14ac:dyDescent="0.25">
      <c r="N55" s="8" t="s">
        <v>12</v>
      </c>
      <c r="AB55" s="55" t="s">
        <v>12</v>
      </c>
    </row>
    <row r="56" spans="14:32" ht="15" customHeight="1" x14ac:dyDescent="0.25">
      <c r="N56" s="8" t="s">
        <v>12</v>
      </c>
      <c r="AB56" s="55" t="s">
        <v>12</v>
      </c>
    </row>
    <row r="57" spans="14:32" ht="15" customHeight="1" x14ac:dyDescent="0.25">
      <c r="N57" s="8" t="s">
        <v>12</v>
      </c>
      <c r="AB57" s="55" t="s">
        <v>12</v>
      </c>
    </row>
    <row r="58" spans="14:32" ht="15" customHeight="1" x14ac:dyDescent="0.25">
      <c r="N58" s="8" t="s">
        <v>12</v>
      </c>
      <c r="AB58" s="55" t="s">
        <v>12</v>
      </c>
    </row>
    <row r="59" spans="14:32" ht="15" customHeight="1" x14ac:dyDescent="0.25">
      <c r="N59" s="8" t="s">
        <v>12</v>
      </c>
      <c r="AB59" s="55" t="s">
        <v>12</v>
      </c>
      <c r="AC59" s="9"/>
      <c r="AD59" s="9"/>
      <c r="AE59" s="9"/>
      <c r="AF59" s="9"/>
    </row>
    <row r="60" spans="14:32" ht="15" customHeight="1" x14ac:dyDescent="0.25"/>
    <row r="61" spans="14:32" ht="15" customHeight="1" x14ac:dyDescent="0.25"/>
    <row r="62" spans="14:32" ht="15" customHeight="1" x14ac:dyDescent="0.25"/>
    <row r="63" spans="14:32" ht="15" customHeight="1" x14ac:dyDescent="0.25"/>
    <row r="64" spans="14:32" ht="15" customHeight="1" x14ac:dyDescent="0.25"/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IRIS-1</vt:lpstr>
      <vt:lpstr>IRIS-2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2021-08-01T14:59:12Z</dcterms:modified>
</cp:coreProperties>
</file>